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G75" i="1"/>
  <c r="H75" i="1" s="1"/>
  <c r="D75" i="1"/>
  <c r="H35" i="1"/>
  <c r="G35" i="1"/>
  <c r="F35" i="1"/>
  <c r="E35" i="1"/>
  <c r="D35" i="1"/>
  <c r="C35" i="1"/>
  <c r="B35" i="1"/>
  <c r="A77" i="1"/>
  <c r="A68" i="1"/>
  <c r="A60" i="1"/>
  <c r="A52" i="1"/>
  <c r="G30" i="1"/>
  <c r="E25" i="1"/>
  <c r="C19" i="1"/>
  <c r="B15" i="1"/>
  <c r="C6" i="1"/>
  <c r="E5" i="1"/>
  <c r="C7" i="1"/>
  <c r="B64" i="1"/>
  <c r="F29" i="1"/>
  <c r="C14" i="1"/>
  <c r="A76" i="1"/>
  <c r="B70" i="1"/>
  <c r="B62" i="1"/>
  <c r="B54" i="1"/>
  <c r="D25" i="1"/>
  <c r="B19" i="1"/>
  <c r="D11" i="1"/>
  <c r="B10" i="1"/>
  <c r="B60" i="1"/>
  <c r="C23" i="1"/>
  <c r="A79" i="1"/>
  <c r="A70" i="1"/>
  <c r="A62" i="1"/>
  <c r="A54" i="1"/>
  <c r="B31" i="1"/>
  <c r="F26" i="1"/>
  <c r="E14" i="1"/>
  <c r="B56" i="1"/>
  <c r="C21" i="1"/>
  <c r="B76" i="1"/>
  <c r="B67" i="1"/>
  <c r="B14" i="1"/>
  <c r="A78" i="1"/>
  <c r="A67" i="1"/>
  <c r="A51" i="1"/>
  <c r="C18" i="1"/>
  <c r="B52" i="1"/>
  <c r="B78" i="1"/>
  <c r="B53" i="1"/>
  <c r="C5" i="1"/>
  <c r="B16" i="1"/>
  <c r="A72" i="1"/>
  <c r="A64" i="1"/>
  <c r="A56" i="1"/>
  <c r="G33" i="1"/>
  <c r="B29" i="1"/>
  <c r="F22" i="1"/>
  <c r="C17" i="1"/>
  <c r="F11" i="1"/>
  <c r="F13" i="1"/>
  <c r="C16" i="1"/>
  <c r="A73" i="1"/>
  <c r="A53" i="1"/>
  <c r="F19" i="1"/>
  <c r="A80" i="1"/>
  <c r="B74" i="1"/>
  <c r="B66" i="1"/>
  <c r="B58" i="1"/>
  <c r="C33" i="1"/>
  <c r="G28" i="1"/>
  <c r="C22" i="1"/>
  <c r="F16" i="1"/>
  <c r="G18" i="1"/>
  <c r="B72" i="1"/>
  <c r="C15" i="1"/>
  <c r="A74" i="1"/>
  <c r="A66" i="1"/>
  <c r="A58" i="1"/>
  <c r="C34" i="1"/>
  <c r="G29" i="1"/>
  <c r="B22" i="1"/>
  <c r="B68" i="1"/>
  <c r="D30" i="1"/>
  <c r="C12" i="1"/>
  <c r="B51" i="1"/>
  <c r="B24" i="1"/>
  <c r="G19" i="1"/>
  <c r="D24" i="1"/>
  <c r="A75" i="1"/>
  <c r="E23" i="1"/>
  <c r="F18" i="1"/>
  <c r="B61" i="1"/>
  <c r="F24" i="1"/>
  <c r="B80" i="1"/>
  <c r="B71" i="1"/>
  <c r="B63" i="1"/>
  <c r="B55" i="1"/>
  <c r="C32" i="1"/>
  <c r="G27" i="1"/>
  <c r="C20" i="1"/>
  <c r="F15" i="1"/>
  <c r="E8" i="1"/>
  <c r="C8" i="1"/>
  <c r="E12" i="1"/>
  <c r="A69" i="1"/>
  <c r="F32" i="1"/>
  <c r="D17" i="1"/>
  <c r="B79" i="1"/>
  <c r="A71" i="1"/>
  <c r="A63" i="1"/>
  <c r="A55" i="1"/>
  <c r="F31" i="1"/>
  <c r="B27" i="1"/>
  <c r="B20" i="1"/>
  <c r="F14" i="1"/>
  <c r="D15" i="1"/>
  <c r="A65" i="1"/>
  <c r="E28" i="1"/>
  <c r="C9" i="1"/>
  <c r="B73" i="1"/>
  <c r="B65" i="1"/>
  <c r="B57" i="1"/>
  <c r="B33" i="1"/>
  <c r="F28" i="1"/>
  <c r="B18" i="1"/>
  <c r="A61" i="1"/>
  <c r="D26" i="1"/>
  <c r="B59" i="1"/>
  <c r="D18" i="1"/>
  <c r="E15" i="1"/>
  <c r="A57" i="1"/>
  <c r="E6" i="1"/>
  <c r="A59" i="1"/>
  <c r="F23" i="1"/>
  <c r="B77" i="1"/>
  <c r="B69" i="1"/>
  <c r="B34" i="1"/>
  <c r="G56" i="1" l="1"/>
  <c r="D56" i="1"/>
  <c r="G68" i="1"/>
  <c r="D68" i="1"/>
  <c r="G53" i="1"/>
  <c r="D53" i="1"/>
  <c r="G57" i="1"/>
  <c r="D57" i="1"/>
  <c r="G61" i="1"/>
  <c r="D61" i="1"/>
  <c r="G65" i="1"/>
  <c r="D65" i="1"/>
  <c r="G69" i="1"/>
  <c r="D69" i="1"/>
  <c r="G73" i="1"/>
  <c r="D73" i="1"/>
  <c r="G78" i="1"/>
  <c r="D78" i="1"/>
  <c r="G52" i="1"/>
  <c r="D52" i="1"/>
  <c r="G60" i="1"/>
  <c r="D60" i="1"/>
  <c r="G72" i="1"/>
  <c r="D72" i="1"/>
  <c r="G77" i="1"/>
  <c r="D77" i="1"/>
  <c r="D54" i="1"/>
  <c r="G54" i="1"/>
  <c r="D58" i="1"/>
  <c r="G58" i="1"/>
  <c r="D62" i="1"/>
  <c r="G62" i="1"/>
  <c r="D66" i="1"/>
  <c r="G66" i="1"/>
  <c r="D70" i="1"/>
  <c r="G70" i="1"/>
  <c r="D74" i="1"/>
  <c r="G74" i="1"/>
  <c r="D79" i="1"/>
  <c r="G79" i="1"/>
  <c r="G64" i="1"/>
  <c r="D64" i="1"/>
  <c r="G51" i="1"/>
  <c r="D51" i="1"/>
  <c r="D55" i="1"/>
  <c r="G55" i="1"/>
  <c r="D59" i="1"/>
  <c r="G59" i="1"/>
  <c r="G63" i="1"/>
  <c r="D63" i="1"/>
  <c r="D67" i="1"/>
  <c r="G67" i="1"/>
  <c r="D71" i="1"/>
  <c r="G71" i="1"/>
  <c r="G76" i="1"/>
  <c r="D76" i="1"/>
  <c r="D80" i="1"/>
  <c r="G80" i="1"/>
  <c r="D81" i="1"/>
  <c r="H63" i="1" l="1"/>
  <c r="H64" i="1"/>
  <c r="H77" i="1"/>
  <c r="H60" i="1"/>
  <c r="H78" i="1"/>
  <c r="H69" i="1"/>
  <c r="H61" i="1"/>
  <c r="H53" i="1"/>
  <c r="H76" i="1"/>
  <c r="H51" i="1"/>
  <c r="H72" i="1"/>
  <c r="H52" i="1"/>
  <c r="H73" i="1"/>
  <c r="H65" i="1"/>
  <c r="H57" i="1"/>
  <c r="H68" i="1"/>
  <c r="H56" i="1"/>
  <c r="H67" i="1"/>
  <c r="H59" i="1"/>
  <c r="H79" i="1"/>
  <c r="H70" i="1"/>
  <c r="H62" i="1"/>
  <c r="H54" i="1"/>
  <c r="H80" i="1"/>
  <c r="H71" i="1"/>
  <c r="H55" i="1"/>
  <c r="H74" i="1"/>
  <c r="H66" i="1"/>
  <c r="H58" i="1"/>
</calcChain>
</file>

<file path=xl/sharedStrings.xml><?xml version="1.0" encoding="utf-8"?>
<sst xmlns="http://schemas.openxmlformats.org/spreadsheetml/2006/main" count="119" uniqueCount="80">
  <si>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</si>
  <si>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</si>
  <si>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</si>
  <si>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</si>
  <si>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</si>
  <si>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</si>
  <si>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</si>
  <si>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</si>
  <si>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</si>
  <si>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</si>
  <si>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</si>
  <si>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</si>
  <si>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</si>
  <si>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</si>
  <si>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</si>
  <si>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</si>
  <si>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</si>
  <si>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</si>
  <si>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</si>
  <si>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</si>
  <si>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</si>
  <si>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</si>
  <si>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</si>
  <si>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</si>
  <si>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</si>
  <si>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</si>
  <si>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</si>
  <si>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</si>
  <si>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</si>
  <si>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</si>
  <si>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</si>
  <si>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</si>
  <si>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</si>
  <si>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</si>
  <si>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</si>
  <si>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</si>
  <si>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</si>
  <si>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</si>
  <si>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</si>
  <si>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</si>
  <si>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</si>
  <si>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</si>
  <si>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Apr_21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</si>
  <si>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</si>
  <si>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</si>
  <si>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</si>
  <si>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</si>
  <si>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</si>
  <si>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</si>
  <si>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</si>
  <si>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</si>
  <si>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</si>
  <si>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</si>
  <si>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</si>
  <si>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</si>
  <si>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</si>
  <si>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</si>
  <si>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</si>
  <si>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</si>
  <si>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</si>
  <si>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</si>
  <si>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</si>
  <si>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</si>
  <si>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</si>
  <si>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</si>
  <si>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</si>
  <si>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t>Apr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</si>
  <si>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</si>
  <si>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</si>
  <si>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</si>
  <si>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</si>
  <si>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</si>
  <si>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</si>
  <si>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</si>
  <si>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</si>
  <si>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Ricardo R. Saavedra</t>
  </si>
  <si>
    <t>SIGNATURE: Ricardo R. Saavedra</t>
  </si>
  <si>
    <t>DATE: 05/07/2021</t>
  </si>
  <si>
    <t>PHONE #: (541) 336-2610</t>
  </si>
  <si>
    <t>CERT #:T-09181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</si>
</sst>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 vertical="top" wrapText="1"/>
    </xf>
    <xf numFmtId="0" fontId="1" fillId="0" borderId="50" xfId="0" applyFont="1" applyBorder="1" applyAlignment="1" applyProtection="1">
      <alignment horizontal="center"/>
      <protection locked="0"/>
    </xf>
    <xf numFmtId="49" fontId="9" fillId="3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53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7" fontId="4" fillId="0" borderId="31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49" fontId="9" fillId="4" borderId="0" xfId="0" applyNumberFormat="1" applyFont="1" applyFill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164" fontId="1" fillId="0" borderId="57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54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8" fillId="6" borderId="0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6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9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2" fontId="1" fillId="0" borderId="4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C81" sqref="C81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72</v>
      </c>
      <c r="B1" s="138"/>
      <c r="C1" s="138"/>
      <c r="D1" s="138"/>
      <c r="E1" s="138"/>
      <c r="F1" s="138"/>
      <c r="G1" s="138"/>
      <c r="H1" s="47" t="s">
        <v>57</v>
      </c>
      <c r="I1" s="71" t="s">
        <v>35</v>
      </c>
    </row>
    <row r="2" spans="1:9" s="14" customFormat="1" ht="20.25" customHeight="1" x14ac:dyDescent="0.2">
      <c r="A2" s="139" t="s">
        <v>45</v>
      </c>
      <c r="B2" s="139"/>
      <c r="C2" s="139"/>
      <c r="D2" s="139"/>
      <c r="E2" s="139"/>
      <c r="F2" s="139"/>
      <c r="G2" s="139"/>
      <c r="H2" s="74" t="s">
        <v>23</v>
      </c>
      <c r="I2" s="58" t="s">
        <v>42</v>
      </c>
    </row>
    <row r="3" spans="1:9" s="92" customFormat="1" ht="20.100000000000001" customHeight="1" x14ac:dyDescent="0.25">
      <c r="A3" s="78" t="s">
        <v>17</v>
      </c>
      <c r="B3" s="108" t="s">
        <v>13</v>
      </c>
      <c r="C3" s="108"/>
      <c r="D3" s="108"/>
      <c r="E3" s="42" t="s">
        <v>0</v>
      </c>
      <c r="F3" s="140"/>
      <c r="G3" s="141"/>
      <c r="H3" s="64" t="s">
        <v>18</v>
      </c>
      <c r="I3" s="75" t="s">
        <v>73</v>
      </c>
    </row>
    <row r="4" spans="1:9" s="73" customFormat="1" ht="31.5" customHeight="1" thickBot="1" x14ac:dyDescent="0.25">
      <c r="A4" s="13" t="s">
        <v>20</v>
      </c>
      <c r="B4" s="76" t="s">
        <v>28</v>
      </c>
      <c r="C4" s="3" t="s">
        <v>64</v>
      </c>
      <c r="D4" s="55" t="s">
        <v>40</v>
      </c>
      <c r="E4" s="67" t="s">
        <v>33</v>
      </c>
      <c r="F4" s="91" t="s">
        <v>58</v>
      </c>
      <c r="G4" s="4" t="s">
        <v>21</v>
      </c>
      <c r="H4" s="142" t="s">
        <v>46</v>
      </c>
      <c r="I4" s="143"/>
    </row>
    <row r="5" spans="1:9" ht="22.35" customHeight="1" thickTop="1" thickBot="1" x14ac:dyDescent="0.25">
      <c r="A5" s="38">
        <v>1</v>
      </c>
      <c r="B5" s="56">
        <v>0.02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>
        <v>0.02</v>
      </c>
      <c r="E5" s="41" t="str">
        <f ca="1">IF(ISNA(MATCH(1,DATA_1!A2:A40,0)),"",IF(INDIRECT("DATA_1!F"&amp;(MATCH(1,DATA_1!A2:A40,0))+1)=999.99,"OFF",INDIRECT("DATA_1!F"&amp;(MATCH(1,DATA_1!A2:A40,0))+1)))</f>
        <v>OFF</v>
      </c>
      <c r="F5" s="12">
        <v>0.02</v>
      </c>
      <c r="G5" s="50">
        <v>0.02</v>
      </c>
      <c r="H5" s="136">
        <v>0.02</v>
      </c>
      <c r="I5" s="137"/>
    </row>
    <row r="6" spans="1:9" ht="22.35" customHeight="1" thickTop="1" thickBot="1" x14ac:dyDescent="0.25">
      <c r="A6" s="65">
        <v>2</v>
      </c>
      <c r="B6" s="56">
        <v>0.02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>
        <v>0.02</v>
      </c>
      <c r="E6" s="41" t="str">
        <f ca="1">IF(ISNA(MATCH(2,DATA_1!A2:A40,0)),"",IF(INDIRECT("DATA_1!F"&amp;(MATCH(2,DATA_1!A2:A40,0))+1)=999.99,"OFF",INDIRECT("DATA_1!F"&amp;(MATCH(2,DATA_1!A2:A40,0))+1)))</f>
        <v>OFF</v>
      </c>
      <c r="F6" s="12">
        <v>0.02</v>
      </c>
      <c r="G6" s="50">
        <v>0.02</v>
      </c>
      <c r="H6" s="122">
        <v>0.02</v>
      </c>
      <c r="I6" s="123"/>
    </row>
    <row r="7" spans="1:9" ht="22.35" customHeight="1" thickTop="1" thickBot="1" x14ac:dyDescent="0.25">
      <c r="A7" s="65">
        <v>3</v>
      </c>
      <c r="B7" s="56">
        <v>0.02</v>
      </c>
      <c r="C7" s="5" t="str">
        <f ca="1">IF(ISNA(MATCH(3,DATA_1!A2:A40,0)),"",IF(INDIRECT("DATA_1!D"&amp;(MATCH(3,DATA_1!A2:A40,0))+1)=999.99,"OFF",INDIRECT("DATA_1!D"&amp;(MATCH(3,DATA_1!A2:A40,0))+1)))</f>
        <v>OFF</v>
      </c>
      <c r="D7" s="5">
        <v>0.02</v>
      </c>
      <c r="E7" s="41">
        <v>0.02</v>
      </c>
      <c r="F7" s="12">
        <v>0.02</v>
      </c>
      <c r="G7" s="50">
        <v>0.02</v>
      </c>
      <c r="H7" s="122">
        <v>0.02</v>
      </c>
      <c r="I7" s="123"/>
    </row>
    <row r="8" spans="1:9" ht="22.35" customHeight="1" thickTop="1" thickBot="1" x14ac:dyDescent="0.25">
      <c r="A8" s="65">
        <v>4</v>
      </c>
      <c r="B8" s="56">
        <v>0.02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0.02</v>
      </c>
      <c r="E8" s="41" t="str">
        <f ca="1">IF(ISNA(MATCH(4,DATA_1!A2:A40,0)),"",IF(INDIRECT("DATA_1!F"&amp;(MATCH(4,DATA_1!A2:A40,0))+1)=999.99,"OFF",INDIRECT("DATA_1!F"&amp;(MATCH(4,DATA_1!A2:A40,0))+1)))</f>
        <v>OFF</v>
      </c>
      <c r="F8" s="12">
        <v>0.02</v>
      </c>
      <c r="G8" s="50">
        <v>0.02</v>
      </c>
      <c r="H8" s="122">
        <v>0.02</v>
      </c>
      <c r="I8" s="123"/>
    </row>
    <row r="9" spans="1:9" ht="22.35" customHeight="1" thickTop="1" thickBot="1" x14ac:dyDescent="0.25">
      <c r="A9" s="65">
        <v>5</v>
      </c>
      <c r="B9" s="56">
        <v>0.02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0.02</v>
      </c>
      <c r="E9" s="41">
        <v>0.02</v>
      </c>
      <c r="F9" s="12">
        <v>0.02</v>
      </c>
      <c r="G9" s="50">
        <v>0.02</v>
      </c>
      <c r="H9" s="122">
        <v>0.02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>
        <v>0.02</v>
      </c>
      <c r="D10" s="5">
        <v>0.02</v>
      </c>
      <c r="E10" s="41">
        <v>0.02</v>
      </c>
      <c r="F10" s="12">
        <v>0.02</v>
      </c>
      <c r="G10" s="50">
        <v>0.02</v>
      </c>
      <c r="H10" s="122">
        <v>0.02</v>
      </c>
      <c r="I10" s="123"/>
    </row>
    <row r="11" spans="1:9" ht="22.35" customHeight="1" thickTop="1" thickBot="1" x14ac:dyDescent="0.25">
      <c r="A11" s="65">
        <v>7</v>
      </c>
      <c r="B11" s="56">
        <v>0.02</v>
      </c>
      <c r="C11" s="5">
        <v>0.02</v>
      </c>
      <c r="D11" s="5">
        <f ca="1">IF(ISNA(MATCH(7,DATA_1!A2:A40,0)),"",IF(INDIRECT("DATA_1!E"&amp;(MATCH(7,DATA_1!A2:A40,0))+1)=999.99,"OFF",INDIRECT("DATA_1!E"&amp;(MATCH(7,DATA_1!A2:A40,0))+1)))</f>
        <v>2.249176E-2</v>
      </c>
      <c r="E11" s="41">
        <v>0.02</v>
      </c>
      <c r="F11" s="12">
        <f ca="1">IF(ISNA(MATCH(7,DATA_1!A2:A40,0)),"",IF(INDIRECT("DATA_1!G"&amp;(MATCH(7,DATA_1!A2:A40,0))+1)=999.99,"OFF",INDIRECT("DATA_1!G"&amp;(MATCH(7,DATA_1!A2:A40,0))+1)))</f>
        <v>2.235434E-2</v>
      </c>
      <c r="G11" s="50">
        <v>0.02</v>
      </c>
      <c r="H11" s="122">
        <v>0.02</v>
      </c>
      <c r="I11" s="123"/>
    </row>
    <row r="12" spans="1:9" ht="22.35" customHeight="1" thickTop="1" thickBot="1" x14ac:dyDescent="0.25">
      <c r="A12" s="65">
        <v>8</v>
      </c>
      <c r="B12" s="56">
        <v>0.02</v>
      </c>
      <c r="C12" s="5">
        <f ca="1">IF(ISNA(MATCH(8,DATA_1!A2:A40,0)),"",IF(INDIRECT("DATA_1!D"&amp;(MATCH(8,DATA_1!A2:A40,0))+1)=999.99,"OFF",INDIRECT("DATA_1!D"&amp;(MATCH(8,DATA_1!A2:A40,0))+1)))</f>
        <v>2.453317E-2</v>
      </c>
      <c r="D12" s="5">
        <v>0.02</v>
      </c>
      <c r="E12" s="41" t="str">
        <f ca="1">IF(ISNA(MATCH(8,DATA_1!A2:A40,0)),"",IF(INDIRECT("DATA_1!F"&amp;(MATCH(8,DATA_1!A2:A40,0))+1)=999.99,"OFF",INDIRECT("DATA_1!F"&amp;(MATCH(8,DATA_1!A2:A40,0))+1)))</f>
        <v>OFF</v>
      </c>
      <c r="F12" s="12">
        <v>0.02</v>
      </c>
      <c r="G12" s="50">
        <v>0.02</v>
      </c>
      <c r="H12" s="122">
        <v>0.02</v>
      </c>
      <c r="I12" s="123"/>
    </row>
    <row r="13" spans="1:9" ht="22.35" customHeight="1" thickTop="1" thickBot="1" x14ac:dyDescent="0.25">
      <c r="A13" s="65">
        <v>9</v>
      </c>
      <c r="B13" s="56">
        <v>0.02</v>
      </c>
      <c r="C13" s="5">
        <v>0.03</v>
      </c>
      <c r="D13" s="5">
        <v>0.03</v>
      </c>
      <c r="E13" s="41">
        <v>0.02</v>
      </c>
      <c r="F13" s="12" t="str">
        <f ca="1">IF(ISNA(MATCH(9,DATA_1!A2:A40,0)),"",IF(INDIRECT("DATA_1!G"&amp;(MATCH(9,DATA_1!A2:A40,0))+1)=999.99,"OFF",INDIRECT("DATA_1!G"&amp;(MATCH(9,DATA_1!A2:A40,0))+1)))</f>
        <v>OFF</v>
      </c>
      <c r="G13" s="50">
        <v>0.02</v>
      </c>
      <c r="H13" s="122">
        <v>0.03</v>
      </c>
      <c r="I13" s="123"/>
    </row>
    <row r="14" spans="1:9" ht="22.35" customHeight="1" thickTop="1" thickBot="1" x14ac:dyDescent="0.25">
      <c r="A14" s="65">
        <v>10</v>
      </c>
      <c r="B14" s="56">
        <f ca="1">IF(ISNA(MATCH(10,DATA_1!A2:A40,0)),"",IF(INDIRECT("DATA_1!C"&amp;(MATCH(10,DATA_1!A2:A40,0))+1)=999.99,"OFF",INDIRECT("DATA_1!C"&amp;(MATCH(10,DATA_1!A2:A40,0))+1)))</f>
        <v>2.3610599999999999E-2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>
        <v>0.02</v>
      </c>
      <c r="E14" s="41" t="str">
        <f ca="1">IF(ISNA(MATCH(10,DATA_1!A2:A40,0)),"",IF(INDIRECT("DATA_1!F"&amp;(MATCH(10,DATA_1!A2:A40,0))+1)=999.99,"OFF",INDIRECT("DATA_1!F"&amp;(MATCH(10,DATA_1!A2:A40,0))+1)))</f>
        <v>OFF</v>
      </c>
      <c r="F14" s="12">
        <f ca="1">IF(ISNA(MATCH(10,DATA_1!A2:A40,0)),"",IF(INDIRECT("DATA_1!G"&amp;(MATCH(10,DATA_1!A2:A40,0))+1)=999.99,"OFF",INDIRECT("DATA_1!G"&amp;(MATCH(10,DATA_1!A2:A40,0))+1)))</f>
        <v>2.364987E-2</v>
      </c>
      <c r="G14" s="50">
        <v>0.02</v>
      </c>
      <c r="H14" s="122">
        <v>0.02</v>
      </c>
      <c r="I14" s="123"/>
    </row>
    <row r="15" spans="1:9" ht="22.35" customHeight="1" thickTop="1" thickBot="1" x14ac:dyDescent="0.25">
      <c r="A15" s="65">
        <v>11</v>
      </c>
      <c r="B15" s="56" t="str">
        <f ca="1">IF(ISNA(MATCH(11,DATA_1!A2:A40,0)),"",IF(INDIRECT("DATA_1!C"&amp;(MATCH(11,DATA_1!A2:A40,0))+1)=999.99,"OFF",INDIRECT("DATA_1!C"&amp;(MATCH(11,DATA_1!A2:A40,0))+1)))</f>
        <v>OFF</v>
      </c>
      <c r="C15" s="5">
        <f ca="1">IF(ISNA(MATCH(11,DATA_1!A2:A40,0)),"",IF(INDIRECT("DATA_1!D"&amp;(MATCH(11,DATA_1!A2:A40,0))+1)=999.99,"OFF",INDIRECT("DATA_1!D"&amp;(MATCH(11,DATA_1!A2:A40,0))+1)))</f>
        <v>2.4847259999999999E-2</v>
      </c>
      <c r="D15" s="5" t="str">
        <f ca="1">IF(ISNA(MATCH(11,DATA_1!A2:A40,0)),"",IF(INDIRECT("DATA_1!E"&amp;(MATCH(11,DATA_1!A2:A40,0))+1)=999.99,"OFF",INDIRECT("DATA_1!E"&amp;(MATCH(11,DATA_1!A2:A40,0))+1)))</f>
        <v>OFF</v>
      </c>
      <c r="E15" s="41">
        <f ca="1">IF(ISNA(MATCH(11,DATA_1!A2:A40,0)),"",IF(INDIRECT("DATA_1!F"&amp;(MATCH(11,DATA_1!A2:A40,0))+1)=999.99,"OFF",INDIRECT("DATA_1!F"&amp;(MATCH(11,DATA_1!A2:A40,0))+1)))</f>
        <v>2.3571350000000001E-2</v>
      </c>
      <c r="F15" s="12" t="str">
        <f ca="1">IF(ISNA(MATCH(11,DATA_1!A2:A40,0)),"",IF(INDIRECT("DATA_1!G"&amp;(MATCH(11,DATA_1!A2:A40,0))+1)=999.99,"OFF",INDIRECT("DATA_1!G"&amp;(MATCH(11,DATA_1!A2:A40,0))+1)))</f>
        <v>OFF</v>
      </c>
      <c r="G15" s="50">
        <v>0.02</v>
      </c>
      <c r="H15" s="122">
        <v>0.02</v>
      </c>
      <c r="I15" s="123"/>
    </row>
    <row r="16" spans="1:9" ht="22.35" customHeight="1" thickTop="1" thickBot="1" x14ac:dyDescent="0.25">
      <c r="A16" s="65">
        <v>12</v>
      </c>
      <c r="B16" s="56">
        <f ca="1">IF(ISNA(MATCH(12,DATA_1!A2:A40,0)),"",IF(INDIRECT("DATA_1!C"&amp;(MATCH(12,DATA_1!A2:A40,0))+1)=999.99,"OFF",INDIRECT("DATA_1!C"&amp;(MATCH(12,DATA_1!A2:A40,0))+1)))</f>
        <v>2.3355440000000002E-2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>
        <v>0.02</v>
      </c>
      <c r="E16" s="41">
        <v>0.02</v>
      </c>
      <c r="F16" s="12" t="str">
        <f ca="1">IF(ISNA(MATCH(12,DATA_1!A2:A40,0)),"",IF(INDIRECT("DATA_1!G"&amp;(MATCH(12,DATA_1!A2:A40,0))+1)=999.99,"OFF",INDIRECT("DATA_1!G"&amp;(MATCH(12,DATA_1!A2:A40,0))+1)))</f>
        <v>OFF</v>
      </c>
      <c r="G16" s="50">
        <v>0.02</v>
      </c>
      <c r="H16" s="122">
        <v>0.02</v>
      </c>
      <c r="I16" s="123"/>
    </row>
    <row r="17" spans="1:9" ht="22.35" customHeight="1" thickTop="1" thickBot="1" x14ac:dyDescent="0.25">
      <c r="A17" s="65">
        <v>13</v>
      </c>
      <c r="B17" s="56">
        <v>0.02</v>
      </c>
      <c r="C17" s="5" t="str">
        <f ca="1">IF(ISNA(MATCH(13,DATA_1!A2:A40,0)),"",IF(INDIRECT("DATA_1!D"&amp;(MATCH(13,DATA_1!A2:A40,0))+1)=999.99,"OFF",INDIRECT("DATA_1!D"&amp;(MATCH(13,DATA_1!A2:A40,0))+1)))</f>
        <v>OFF</v>
      </c>
      <c r="D17" s="5" t="str">
        <f ca="1">IF(ISNA(MATCH(13,DATA_1!A2:A40,0)),"",IF(INDIRECT("DATA_1!E"&amp;(MATCH(13,DATA_1!A2:A40,0))+1)=999.99,"OFF",INDIRECT("DATA_1!E"&amp;(MATCH(13,DATA_1!A2:A40,0))+1)))</f>
        <v>OFF</v>
      </c>
      <c r="E17" s="41">
        <v>0.02</v>
      </c>
      <c r="F17" s="12">
        <v>0.02</v>
      </c>
      <c r="G17" s="50">
        <v>0.02</v>
      </c>
      <c r="H17" s="122">
        <v>0.02</v>
      </c>
      <c r="I17" s="123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f ca="1">IF(ISNA(MATCH(14,DATA_1!A2:A40,0)),"",IF(INDIRECT("DATA_1!E"&amp;(MATCH(14,DATA_1!A2:A40,0))+1)=999.99,"OFF",INDIRECT("DATA_1!E"&amp;(MATCH(14,DATA_1!A2:A40,0))+1)))</f>
        <v>2.376764E-2</v>
      </c>
      <c r="E18" s="41">
        <v>0.02</v>
      </c>
      <c r="F18" s="12" t="str">
        <f ca="1">IF(ISNA(MATCH(14,DATA_1!A2:A40,0)),"",IF(INDIRECT("DATA_1!G"&amp;(MATCH(14,DATA_1!A2:A40,0))+1)=999.99,"OFF",INDIRECT("DATA_1!G"&amp;(MATCH(14,DATA_1!A2:A40,0))+1)))</f>
        <v>OFF</v>
      </c>
      <c r="G18" s="50">
        <f ca="1">IF(ISNA(MATCH(14,DATA_1!A2:A40,0)),"",IF(INDIRECT("DATA_1!H"&amp;(MATCH(14,DATA_1!A2:A40,0))+1)=999.99,"OFF",INDIRECT("DATA_1!H"&amp;(MATCH(14,DATA_1!A2:A40,0))+1)))</f>
        <v>2.3198400000000001E-2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 t="str">
        <f ca="1">IF(ISNA(MATCH(15,DATA_1!A2:A40,0)),"",IF(INDIRECT("DATA_1!C"&amp;(MATCH(15,DATA_1!A2:A40,0))+1)=999.99,"OFF",INDIRECT("DATA_1!C"&amp;(MATCH(15,DATA_1!A2:A40,0))+1)))</f>
        <v>OFF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>
        <v>0.02</v>
      </c>
      <c r="E19" s="41">
        <v>0.02</v>
      </c>
      <c r="F19" s="12" t="str">
        <f ca="1">IF(ISNA(MATCH(15,DATA_1!A2:A40,0)),"",IF(INDIRECT("DATA_1!G"&amp;(MATCH(15,DATA_1!A2:A40,0))+1)=999.99,"OFF",INDIRECT("DATA_1!G"&amp;(MATCH(15,DATA_1!A2:A40,0))+1)))</f>
        <v>OFF</v>
      </c>
      <c r="G19" s="50">
        <f ca="1">IF(ISNA(MATCH(15,DATA_1!A2:A40,0)),"",IF(INDIRECT("DATA_1!H"&amp;(MATCH(15,DATA_1!A2:A40,0))+1)=999.99,"OFF",INDIRECT("DATA_1!H"&amp;(MATCH(15,DATA_1!A2:A40,0))+1)))</f>
        <v>3.1835210000000003E-2</v>
      </c>
      <c r="H19" s="122">
        <v>0.02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>
        <v>0.02</v>
      </c>
      <c r="E20" s="41">
        <v>0.02</v>
      </c>
      <c r="F20" s="12">
        <v>0.02</v>
      </c>
      <c r="G20" s="50">
        <v>0.02</v>
      </c>
      <c r="H20" s="122">
        <v>0.02</v>
      </c>
      <c r="I20" s="123"/>
    </row>
    <row r="21" spans="1:9" ht="22.35" customHeight="1" thickTop="1" thickBot="1" x14ac:dyDescent="0.25">
      <c r="A21" s="65">
        <v>17</v>
      </c>
      <c r="B21" s="56">
        <v>0.02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0.02</v>
      </c>
      <c r="E21" s="41">
        <v>0.02</v>
      </c>
      <c r="F21" s="12">
        <v>0.02</v>
      </c>
      <c r="G21" s="50">
        <v>0.02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0.02</v>
      </c>
      <c r="E22" s="41">
        <v>0.02</v>
      </c>
      <c r="F22" s="12" t="str">
        <f ca="1">IF(ISNA(MATCH(18,DATA_1!A2:A40,0)),"",IF(INDIRECT("DATA_1!G"&amp;(MATCH(18,DATA_1!A2:A40,0))+1)=999.99,"OFF",INDIRECT("DATA_1!G"&amp;(MATCH(18,DATA_1!A2:A40,0))+1)))</f>
        <v>OFF</v>
      </c>
      <c r="G22" s="50">
        <v>0.02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>
        <v>0.02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>
        <v>0.02</v>
      </c>
      <c r="E23" s="41">
        <f ca="1">IF(ISNA(MATCH(19,DATA_1!A2:A40,0)),"",IF(INDIRECT("DATA_1!F"&amp;(MATCH(19,DATA_1!A2:A40,0))+1)=999.99,"OFF",INDIRECT("DATA_1!F"&amp;(MATCH(19,DATA_1!A2:A40,0))+1)))</f>
        <v>3.4975890000000003E-2</v>
      </c>
      <c r="F23" s="12" t="str">
        <f ca="1">IF(ISNA(MATCH(19,DATA_1!A2:A40,0)),"",IF(INDIRECT("DATA_1!G"&amp;(MATCH(19,DATA_1!A2:A40,0))+1)=999.99,"OFF",INDIRECT("DATA_1!G"&amp;(MATCH(19,DATA_1!A2:A40,0))+1)))</f>
        <v>OFF</v>
      </c>
      <c r="G23" s="50">
        <v>0.02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>
        <v>0.02</v>
      </c>
      <c r="D24" s="5" t="str">
        <f ca="1">IF(ISNA(MATCH(20,DATA_1!A2:A40,0)),"",IF(INDIRECT("DATA_1!E"&amp;(MATCH(20,DATA_1!A2:A40,0))+1)=999.99,"OFF",INDIRECT("DATA_1!E"&amp;(MATCH(20,DATA_1!A2:A40,0))+1)))</f>
        <v>OFF</v>
      </c>
      <c r="E24" s="41">
        <v>0.02</v>
      </c>
      <c r="F24" s="12" t="str">
        <f ca="1">IF(ISNA(MATCH(20,DATA_1!A2:A40,0)),"",IF(INDIRECT("DATA_1!G"&amp;(MATCH(20,DATA_1!A2:A40,0))+1)=999.99,"OFF",INDIRECT("DATA_1!G"&amp;(MATCH(20,DATA_1!A2:A40,0))+1)))</f>
        <v>OFF</v>
      </c>
      <c r="G24" s="50">
        <v>0.02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>
        <v>0.02</v>
      </c>
      <c r="C25" s="5">
        <v>0.02</v>
      </c>
      <c r="D25" s="5" t="str">
        <f ca="1">IF(ISNA(MATCH(21,DATA_1!A2:A40,0)),"",IF(INDIRECT("DATA_1!E"&amp;(MATCH(21,DATA_1!A2:A40,0))+1)=999.99,"OFF",INDIRECT("DATA_1!E"&amp;(MATCH(21,DATA_1!A2:A40,0))+1)))</f>
        <v>OFF</v>
      </c>
      <c r="E25" s="41" t="str">
        <f ca="1">IF(ISNA(MATCH(21,DATA_1!A2:A40,0)),"",IF(INDIRECT("DATA_1!F"&amp;(MATCH(21,DATA_1!A2:A40,0))+1)=999.99,"OFF",INDIRECT("DATA_1!F"&amp;(MATCH(21,DATA_1!A2:A40,0))+1)))</f>
        <v>OFF</v>
      </c>
      <c r="F25" s="12">
        <v>0.02</v>
      </c>
      <c r="G25" s="50">
        <v>0.02</v>
      </c>
      <c r="H25" s="122">
        <v>0.02</v>
      </c>
      <c r="I25" s="123"/>
    </row>
    <row r="26" spans="1:9" ht="22.35" customHeight="1" thickTop="1" thickBot="1" x14ac:dyDescent="0.25">
      <c r="A26" s="65">
        <v>22</v>
      </c>
      <c r="B26" s="56">
        <v>0.02</v>
      </c>
      <c r="C26" s="5">
        <v>0.02</v>
      </c>
      <c r="D26" s="5" t="str">
        <f ca="1">IF(ISNA(MATCH(22,DATA_1!A2:A40,0)),"",IF(INDIRECT("DATA_1!E"&amp;(MATCH(22,DATA_1!A2:A40,0))+1)=999.99,"OFF",INDIRECT("DATA_1!E"&amp;(MATCH(22,DATA_1!A2:A40,0))+1)))</f>
        <v>OFF</v>
      </c>
      <c r="E26" s="41">
        <v>0.02</v>
      </c>
      <c r="F26" s="12" t="str">
        <f ca="1">IF(ISNA(MATCH(22,DATA_1!A2:A40,0)),"",IF(INDIRECT("DATA_1!G"&amp;(MATCH(22,DATA_1!A2:A40,0))+1)=999.99,"OFF",INDIRECT("DATA_1!G"&amp;(MATCH(22,DATA_1!A2:A40,0))+1)))</f>
        <v>OFF</v>
      </c>
      <c r="G26" s="50">
        <v>0.02</v>
      </c>
      <c r="H26" s="122">
        <v>0.02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>
        <v>0.02</v>
      </c>
      <c r="D27" s="5">
        <v>0.02</v>
      </c>
      <c r="E27" s="41">
        <v>0.02</v>
      </c>
      <c r="F27" s="12">
        <v>0.02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0.02</v>
      </c>
      <c r="I27" s="123"/>
    </row>
    <row r="28" spans="1:9" ht="22.35" customHeight="1" thickTop="1" thickBot="1" x14ac:dyDescent="0.25">
      <c r="A28" s="65">
        <v>24</v>
      </c>
      <c r="B28" s="56">
        <v>0.02</v>
      </c>
      <c r="C28" s="5">
        <v>0.02</v>
      </c>
      <c r="D28" s="5">
        <v>0.02</v>
      </c>
      <c r="E28" s="41" t="str">
        <f ca="1">IF(ISNA(MATCH(24,DATA_1!A2:A40,0)),"",IF(INDIRECT("DATA_1!F"&amp;(MATCH(24,DATA_1!A2:A40,0))+1)=999.99,"OFF",INDIRECT("DATA_1!F"&amp;(MATCH(24,DATA_1!A2:A40,0))+1)))</f>
        <v>OFF</v>
      </c>
      <c r="F28" s="12" t="str">
        <f ca="1">IF(ISNA(MATCH(24,DATA_1!A2:A40,0)),"",IF(INDIRECT("DATA_1!G"&amp;(MATCH(24,DATA_1!A2:A40,0))+1)=999.99,"OFF",INDIRECT("DATA_1!G"&amp;(MATCH(24,DATA_1!A2:A40,0))+1)))</f>
        <v>OFF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>
        <v>0.02</v>
      </c>
      <c r="D29" s="5">
        <v>0.02</v>
      </c>
      <c r="E29" s="41">
        <v>0.02</v>
      </c>
      <c r="F29" s="12" t="str">
        <f ca="1">IF(ISNA(MATCH(25,DATA_1!A2:A40,0)),"",IF(INDIRECT("DATA_1!G"&amp;(MATCH(25,DATA_1!A2:A40,0))+1)=999.99,"OFF",INDIRECT("DATA_1!G"&amp;(MATCH(25,DATA_1!A2:A40,0))+1)))</f>
        <v>OFF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65">
        <v>26</v>
      </c>
      <c r="B30" s="56">
        <v>0.02</v>
      </c>
      <c r="C30" s="5">
        <v>0.02</v>
      </c>
      <c r="D30" s="5" t="str">
        <f ca="1">IF(ISNA(MATCH(26,DATA_1!A2:A40,0)),"",IF(INDIRECT("DATA_1!E"&amp;(MATCH(26,DATA_1!A2:A40,0))+1)=999.99,"OFF",INDIRECT("DATA_1!E"&amp;(MATCH(26,DATA_1!A2:A40,0))+1)))</f>
        <v>OFF</v>
      </c>
      <c r="E30" s="41">
        <v>0.02</v>
      </c>
      <c r="F30" s="12">
        <v>0.02</v>
      </c>
      <c r="G30" s="50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>
        <v>0.02</v>
      </c>
      <c r="D31" s="5">
        <v>0.02</v>
      </c>
      <c r="E31" s="41">
        <v>0.02</v>
      </c>
      <c r="F31" s="12" t="str">
        <f ca="1">IF(ISNA(MATCH(27,DATA_1!A2:A40,0)),"",IF(INDIRECT("DATA_1!G"&amp;(MATCH(27,DATA_1!A2:A40,0))+1)=999.99,"OFF",INDIRECT("DATA_1!G"&amp;(MATCH(27,DATA_1!A2:A40,0))+1)))</f>
        <v>OFF</v>
      </c>
      <c r="G31" s="50">
        <v>0.02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>
        <v>0.02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0.02</v>
      </c>
      <c r="E32" s="41">
        <v>0.02</v>
      </c>
      <c r="F32" s="12" t="str">
        <f ca="1">IF(ISNA(MATCH(28,DATA_1!A2:A40,0)),"",IF(INDIRECT("DATA_1!G"&amp;(MATCH(28,DATA_1!A2:A40,0))+1)=999.99,"OFF",INDIRECT("DATA_1!G"&amp;(MATCH(28,DATA_1!A2:A40,0))+1)))</f>
        <v>OFF</v>
      </c>
      <c r="G32" s="50">
        <v>0.02</v>
      </c>
      <c r="H32" s="122">
        <v>0.02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0.02</v>
      </c>
      <c r="E33" s="41">
        <v>0.02</v>
      </c>
      <c r="F33" s="12">
        <v>0.02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>
        <v>0.02</v>
      </c>
      <c r="E34" s="41">
        <v>0.02</v>
      </c>
      <c r="F34" s="12">
        <v>0.02</v>
      </c>
      <c r="G34" s="50">
        <v>0.02</v>
      </c>
      <c r="H34" s="122">
        <v>0.02</v>
      </c>
      <c r="I34" s="123"/>
    </row>
    <row r="35" spans="1:9" ht="22.35" customHeight="1" thickTop="1" thickBot="1" x14ac:dyDescent="0.25">
      <c r="A35" s="80"/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45</v>
      </c>
      <c r="B36" s="127"/>
      <c r="C36" s="128"/>
      <c r="D36" s="128"/>
      <c r="E36" s="129"/>
      <c r="F36" s="130" t="s">
        <v>19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5</v>
      </c>
      <c r="B37" s="134"/>
      <c r="C37" s="134"/>
      <c r="D37" s="134"/>
      <c r="E37" s="40" t="s">
        <v>74</v>
      </c>
      <c r="F37" s="135" t="s">
        <v>34</v>
      </c>
      <c r="G37" s="135"/>
      <c r="H37" s="135" t="s">
        <v>65</v>
      </c>
      <c r="I37" s="135"/>
    </row>
    <row r="38" spans="1:9" s="86" customFormat="1" ht="15" x14ac:dyDescent="0.2">
      <c r="A38" s="112" t="s">
        <v>27</v>
      </c>
      <c r="B38" s="113"/>
      <c r="C38" s="113"/>
      <c r="D38" s="113"/>
      <c r="E38" s="10" t="s">
        <v>74</v>
      </c>
      <c r="F38" s="114" t="s">
        <v>74</v>
      </c>
      <c r="G38" s="115"/>
      <c r="H38" s="114" t="s">
        <v>74</v>
      </c>
      <c r="I38" s="118"/>
    </row>
    <row r="39" spans="1:9" s="86" customFormat="1" ht="22.5" customHeight="1" thickBot="1" x14ac:dyDescent="0.25">
      <c r="A39" s="120" t="s">
        <v>30</v>
      </c>
      <c r="B39" s="121"/>
      <c r="C39" s="121"/>
      <c r="D39" s="121"/>
      <c r="E39" s="22" t="s">
        <v>74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75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76</v>
      </c>
      <c r="G41" s="103"/>
      <c r="H41" s="104"/>
      <c r="I41" s="18" t="s">
        <v>77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78</v>
      </c>
      <c r="G42" s="103"/>
      <c r="H42" s="104"/>
      <c r="I42" s="18" t="s">
        <v>79</v>
      </c>
    </row>
    <row r="43" spans="1:9" s="24" customFormat="1" ht="14.25" customHeight="1" thickTop="1" x14ac:dyDescent="0.2">
      <c r="A43" s="105" t="s">
        <v>60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49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24</v>
      </c>
      <c r="B46" s="107"/>
      <c r="C46" s="107"/>
      <c r="D46" s="107"/>
      <c r="E46" s="107"/>
      <c r="F46" s="107"/>
      <c r="G46" s="107"/>
      <c r="H46" s="48" t="s">
        <v>25</v>
      </c>
      <c r="I46" s="19" t="s">
        <v>73</v>
      </c>
    </row>
    <row r="47" spans="1:9" ht="25.5" x14ac:dyDescent="0.2">
      <c r="A47" s="78" t="s">
        <v>17</v>
      </c>
      <c r="B47" s="108" t="s">
        <v>13</v>
      </c>
      <c r="C47" s="108"/>
      <c r="D47" s="16" t="s">
        <v>0</v>
      </c>
      <c r="E47" s="25"/>
      <c r="F47" s="16" t="s">
        <v>4</v>
      </c>
      <c r="G47" s="16" t="s">
        <v>42</v>
      </c>
      <c r="H47" s="32" t="s">
        <v>68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26</v>
      </c>
      <c r="B49" s="37" t="s">
        <v>48</v>
      </c>
      <c r="C49" s="72" t="s">
        <v>8</v>
      </c>
      <c r="D49" s="72" t="s">
        <v>10</v>
      </c>
      <c r="E49" s="72" t="s">
        <v>36</v>
      </c>
      <c r="F49" s="72" t="s">
        <v>69</v>
      </c>
      <c r="G49" s="72" t="s">
        <v>31</v>
      </c>
      <c r="H49" s="72" t="s">
        <v>37</v>
      </c>
      <c r="I49" s="49" t="s">
        <v>14</v>
      </c>
    </row>
    <row r="50" spans="1:9" ht="15.75" thickBot="1" x14ac:dyDescent="0.25">
      <c r="A50" s="61"/>
      <c r="B50" s="57" t="s">
        <v>54</v>
      </c>
      <c r="C50" s="57" t="s">
        <v>62</v>
      </c>
      <c r="D50" s="84" t="s">
        <v>16</v>
      </c>
      <c r="E50" s="57" t="s">
        <v>11</v>
      </c>
      <c r="F50" s="57"/>
      <c r="G50" s="57" t="s">
        <v>32</v>
      </c>
      <c r="H50" s="57" t="s">
        <v>29</v>
      </c>
      <c r="I50" s="39" t="s">
        <v>47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16:00</v>
      </c>
      <c r="B51" s="28">
        <f ca="1">IF(ISNA(MATCH(1,DATA_1!A2:A40,0)),"",INDIRECT("DATA_1!T"&amp;(MATCH(1,DATA_1!A2:A40,0))+1))</f>
        <v>0.81</v>
      </c>
      <c r="C51" s="20">
        <v>111</v>
      </c>
      <c r="D51" s="93">
        <f t="shared" ref="D51:D81" ca="1" si="0">IF(B51="","",B51*C51)</f>
        <v>89.910000000000011</v>
      </c>
      <c r="E51" s="30">
        <v>8.6999999999999993</v>
      </c>
      <c r="F51" s="12">
        <v>7.26</v>
      </c>
      <c r="G51" s="88">
        <f t="shared" ref="G51:G81" ca="1" si="1">IF(B51="","",IF(E51&lt;12.5,(0.353*$I$47)*(12.006+EXP(2.46-0.073*E51+0.125*B51+0.389*F51)),(0.361*$I$47)*(-2.261+EXP(2.69-0.065*E51+0.111*B51+0.361*F51))))</f>
        <v>22.525602258581401</v>
      </c>
      <c r="H51" s="52" t="str">
        <f t="shared" ref="H51:H81" ca="1" si="2">IF(D51&gt;G51,"YES","NO")</f>
        <v>YES</v>
      </c>
      <c r="I51" s="63">
        <v>831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8:00</v>
      </c>
      <c r="B52" s="28">
        <f ca="1">IF(ISNA(MATCH(2,DATA_1!A2:A40,0)),"",INDIRECT("DATA_1!T"&amp;(MATCH(2,DATA_1!A2:A40,0))+1))</f>
        <v>0.82</v>
      </c>
      <c r="C52" s="85">
        <v>111</v>
      </c>
      <c r="D52" s="70">
        <f t="shared" ca="1" si="0"/>
        <v>91.02</v>
      </c>
      <c r="E52" s="15">
        <v>9.1999999999999993</v>
      </c>
      <c r="F52" s="34">
        <v>7.05</v>
      </c>
      <c r="G52" s="88">
        <f t="shared" ca="1" si="1"/>
        <v>20.273506960682941</v>
      </c>
      <c r="H52" s="23" t="str">
        <f t="shared" ca="1" si="2"/>
        <v>YES</v>
      </c>
      <c r="I52" s="2">
        <v>835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8:00</v>
      </c>
      <c r="B53" s="28">
        <f ca="1">IF(ISNA(MATCH(3,DATA_1!A2:A40,0)),"",INDIRECT("DATA_1!T"&amp;(MATCH(3,DATA_1!A2:A40,0))+1))</f>
        <v>0.83</v>
      </c>
      <c r="C53" s="85">
        <v>111</v>
      </c>
      <c r="D53" s="70">
        <f t="shared" ca="1" si="0"/>
        <v>92.13</v>
      </c>
      <c r="E53" s="15">
        <v>9.4</v>
      </c>
      <c r="F53" s="34">
        <v>6.89</v>
      </c>
      <c r="G53" s="88">
        <f t="shared" ca="1" si="1"/>
        <v>18.951795598507086</v>
      </c>
      <c r="H53" s="23" t="str">
        <f t="shared" ca="1" si="2"/>
        <v>YES</v>
      </c>
      <c r="I53" s="2">
        <v>867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f ca="1">IF(ISNA(MATCH(4,DATA_1!A2:A40,0)),"",INDIRECT("DATA_1!T"&amp;(MATCH(4,DATA_1!A2:A40,0))+1))</f>
        <v>0.82</v>
      </c>
      <c r="C54" s="85">
        <v>111</v>
      </c>
      <c r="D54" s="70">
        <f t="shared" ca="1" si="0"/>
        <v>91.02</v>
      </c>
      <c r="E54" s="15">
        <v>9.1</v>
      </c>
      <c r="F54" s="34">
        <v>7.28</v>
      </c>
      <c r="G54" s="88">
        <f t="shared" ca="1" si="1"/>
        <v>22.118125498530777</v>
      </c>
      <c r="H54" s="23" t="str">
        <f t="shared" ca="1" si="2"/>
        <v>YES</v>
      </c>
      <c r="I54" s="2">
        <v>854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20:00</v>
      </c>
      <c r="B55" s="28">
        <f ca="1">IF(ISNA(MATCH(5,DATA_1!A2:A40,0)),"",INDIRECT("DATA_1!T"&amp;(MATCH(5,DATA_1!A2:A40,0))+1))</f>
        <v>0.76</v>
      </c>
      <c r="C55" s="85">
        <v>111</v>
      </c>
      <c r="D55" s="70">
        <f t="shared" ca="1" si="0"/>
        <v>84.36</v>
      </c>
      <c r="E55" s="15">
        <v>9.1999999999999993</v>
      </c>
      <c r="F55" s="34">
        <v>7.33</v>
      </c>
      <c r="G55" s="88">
        <f t="shared" ca="1" si="1"/>
        <v>22.211337708179684</v>
      </c>
      <c r="H55" s="23" t="str">
        <f t="shared" ca="1" si="2"/>
        <v>YES</v>
      </c>
      <c r="I55" s="2">
        <v>1055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f ca="1">IF(ISNA(MATCH(6,DATA_1!A2:A40,0)),"",INDIRECT("DATA_1!T"&amp;(MATCH(6,DATA_1!A2:A40,0))+1))</f>
        <v>0.73</v>
      </c>
      <c r="C56" s="20">
        <v>111</v>
      </c>
      <c r="D56" s="70">
        <f t="shared" ca="1" si="0"/>
        <v>81.03</v>
      </c>
      <c r="E56" s="15">
        <v>9.6999999999999993</v>
      </c>
      <c r="F56" s="34">
        <v>7.4</v>
      </c>
      <c r="G56" s="88">
        <f t="shared" ca="1" si="1"/>
        <v>21.951431897825628</v>
      </c>
      <c r="H56" s="23" t="str">
        <f t="shared" ca="1" si="2"/>
        <v>YES</v>
      </c>
      <c r="I56" s="2">
        <v>1011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4:00</v>
      </c>
      <c r="B57" s="28">
        <f ca="1">IF(ISNA(MATCH(7,DATA_1!A2:A40,0)),"",INDIRECT("DATA_1!T"&amp;(MATCH(7,DATA_1!A2:A40,0))+1))</f>
        <v>0.74</v>
      </c>
      <c r="C57" s="85">
        <v>111</v>
      </c>
      <c r="D57" s="70">
        <f t="shared" ca="1" si="0"/>
        <v>82.14</v>
      </c>
      <c r="E57" s="15">
        <v>9.1</v>
      </c>
      <c r="F57" s="34">
        <v>7.53</v>
      </c>
      <c r="G57" s="88">
        <f t="shared" ca="1" si="1"/>
        <v>23.941429151357866</v>
      </c>
      <c r="H57" s="23" t="str">
        <f t="shared" ca="1" si="2"/>
        <v>YES</v>
      </c>
      <c r="I57" s="2">
        <v>1031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8:00</v>
      </c>
      <c r="B58" s="28">
        <f ca="1">IF(ISNA(MATCH(8,DATA_1!A2:A40,0)),"",INDIRECT("DATA_1!T"&amp;(MATCH(8,DATA_1!A2:A40,0))+1))</f>
        <v>0.75</v>
      </c>
      <c r="C58" s="85">
        <v>111</v>
      </c>
      <c r="D58" s="70">
        <f t="shared" ca="1" si="0"/>
        <v>83.25</v>
      </c>
      <c r="E58" s="15">
        <v>9.1999999999999993</v>
      </c>
      <c r="F58" s="34">
        <v>7.76</v>
      </c>
      <c r="G58" s="88">
        <f t="shared" ca="1" si="1"/>
        <v>25.839937208024253</v>
      </c>
      <c r="H58" s="23" t="str">
        <f t="shared" ca="1" si="2"/>
        <v>YES</v>
      </c>
      <c r="I58" s="2">
        <v>963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8:00</v>
      </c>
      <c r="B59" s="28">
        <f ca="1">IF(ISNA(MATCH(9,DATA_1!A2:A40,0)),"",INDIRECT("DATA_1!T"&amp;(MATCH(9,DATA_1!A2:A40,0))+1))</f>
        <v>0.75</v>
      </c>
      <c r="C59" s="85">
        <v>111</v>
      </c>
      <c r="D59" s="70">
        <f t="shared" ca="1" si="0"/>
        <v>83.25</v>
      </c>
      <c r="E59" s="15">
        <v>9.1999999999999993</v>
      </c>
      <c r="F59" s="34">
        <v>7.7</v>
      </c>
      <c r="G59" s="88">
        <f t="shared" ca="1" si="1"/>
        <v>25.2927029763168</v>
      </c>
      <c r="H59" s="23" t="str">
        <f t="shared" ca="1" si="2"/>
        <v>YES</v>
      </c>
      <c r="I59" s="2">
        <v>896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f ca="1">IF(ISNA(MATCH(10,DATA_1!A2:A40,0)),"",INDIRECT("DATA_1!T"&amp;(MATCH(10,DATA_1!A2:A40,0))+1))</f>
        <v>0.81</v>
      </c>
      <c r="C60" s="85">
        <v>111</v>
      </c>
      <c r="D60" s="70">
        <f t="shared" ca="1" si="0"/>
        <v>89.910000000000011</v>
      </c>
      <c r="E60" s="15">
        <v>9.5</v>
      </c>
      <c r="F60" s="34">
        <v>7.68</v>
      </c>
      <c r="G60" s="88">
        <f t="shared" ca="1" si="1"/>
        <v>24.78436980723982</v>
      </c>
      <c r="H60" s="23" t="str">
        <f t="shared" ca="1" si="2"/>
        <v>YES</v>
      </c>
      <c r="I60" s="2">
        <v>893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4:00</v>
      </c>
      <c r="B61" s="28">
        <f ca="1">IF(ISNA(MATCH(11,DATA_1!A2:A40,0)),"",INDIRECT("DATA_1!T"&amp;(MATCH(11,DATA_1!A2:A40,0))+1))</f>
        <v>0.81</v>
      </c>
      <c r="C61" s="20">
        <v>111</v>
      </c>
      <c r="D61" s="70">
        <f t="shared" ca="1" si="0"/>
        <v>89.910000000000011</v>
      </c>
      <c r="E61" s="15">
        <v>9.4</v>
      </c>
      <c r="F61" s="34">
        <v>7.6</v>
      </c>
      <c r="G61" s="88">
        <f t="shared" ca="1" si="1"/>
        <v>24.250861414250622</v>
      </c>
      <c r="H61" s="23" t="str">
        <f t="shared" ca="1" si="2"/>
        <v>YES</v>
      </c>
      <c r="I61" s="2">
        <v>877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8:00</v>
      </c>
      <c r="B62" s="28">
        <f ca="1">IF(ISNA(MATCH(12,DATA_1!A2:A40,0)),"",INDIRECT("DATA_1!T"&amp;(MATCH(12,DATA_1!A2:A40,0))+1))</f>
        <v>0.82</v>
      </c>
      <c r="C62" s="85">
        <v>111</v>
      </c>
      <c r="D62" s="70">
        <f t="shared" ca="1" si="0"/>
        <v>91.02</v>
      </c>
      <c r="E62" s="15">
        <v>9.6</v>
      </c>
      <c r="F62" s="34">
        <v>7.6</v>
      </c>
      <c r="G62" s="88">
        <f t="shared" ca="1" si="1"/>
        <v>23.957365297553999</v>
      </c>
      <c r="H62" s="23" t="str">
        <f t="shared" ca="1" si="2"/>
        <v>YES</v>
      </c>
      <c r="I62" s="2">
        <v>833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12:00</v>
      </c>
      <c r="B63" s="28">
        <f ca="1">IF(ISNA(MATCH(13,DATA_1!A2:A40,0)),"",INDIRECT("DATA_1!T"&amp;(MATCH(13,DATA_1!A2:A40,0))+1))</f>
        <v>0.82</v>
      </c>
      <c r="C63" s="85">
        <v>111</v>
      </c>
      <c r="D63" s="70">
        <f t="shared" ca="1" si="0"/>
        <v>91.02</v>
      </c>
      <c r="E63" s="15">
        <v>9.6</v>
      </c>
      <c r="F63" s="34">
        <v>7.48</v>
      </c>
      <c r="G63" s="88">
        <f t="shared" ca="1" si="1"/>
        <v>22.961380299017375</v>
      </c>
      <c r="H63" s="23" t="str">
        <f t="shared" ca="1" si="2"/>
        <v>YES</v>
      </c>
      <c r="I63" s="2">
        <v>854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12:00</v>
      </c>
      <c r="B64" s="28">
        <f ca="1">IF(ISNA(MATCH(14,DATA_1!A2:A40,0)),"",INDIRECT("DATA_1!T"&amp;(MATCH(14,DATA_1!A2:A40,0))+1))</f>
        <v>0.82</v>
      </c>
      <c r="C64" s="85">
        <v>111</v>
      </c>
      <c r="D64" s="70">
        <f t="shared" ca="1" si="0"/>
        <v>91.02</v>
      </c>
      <c r="E64" s="15">
        <v>9.6999999999999993</v>
      </c>
      <c r="F64" s="34">
        <v>7.5</v>
      </c>
      <c r="G64" s="88">
        <f t="shared" ca="1" si="1"/>
        <v>22.971387014660539</v>
      </c>
      <c r="H64" s="23" t="str">
        <f t="shared" ca="1" si="2"/>
        <v>YES</v>
      </c>
      <c r="I64" s="2">
        <v>818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20:00</v>
      </c>
      <c r="B65" s="28">
        <f ca="1">IF(ISNA(MATCH(15,DATA_1!A2:A40,0)),"",INDIRECT("DATA_1!T"&amp;(MATCH(15,DATA_1!A2:A40,0))+1))</f>
        <v>0.83</v>
      </c>
      <c r="C65" s="85">
        <v>111</v>
      </c>
      <c r="D65" s="70">
        <f t="shared" ca="1" si="0"/>
        <v>92.13</v>
      </c>
      <c r="E65" s="15">
        <v>9.8000000000000007</v>
      </c>
      <c r="F65" s="34">
        <v>7.45</v>
      </c>
      <c r="G65" s="88">
        <f t="shared" ca="1" si="1"/>
        <v>22.446375002225334</v>
      </c>
      <c r="H65" s="23" t="str">
        <f t="shared" ca="1" si="2"/>
        <v>YES</v>
      </c>
      <c r="I65" s="2">
        <v>837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12:00</v>
      </c>
      <c r="B66" s="28">
        <f ca="1">IF(ISNA(MATCH(16,DATA_1!A2:A40,0)),"",INDIRECT("DATA_1!T"&amp;(MATCH(16,DATA_1!A2:A40,0))+1))</f>
        <v>0.83</v>
      </c>
      <c r="C66" s="20">
        <v>111</v>
      </c>
      <c r="D66" s="70">
        <f t="shared" ca="1" si="0"/>
        <v>92.13</v>
      </c>
      <c r="E66" s="15">
        <v>10.6</v>
      </c>
      <c r="F66" s="34">
        <v>7.42</v>
      </c>
      <c r="G66" s="88">
        <f t="shared" ca="1" si="1"/>
        <v>21.070796147717019</v>
      </c>
      <c r="H66" s="23" t="str">
        <f t="shared" ca="1" si="2"/>
        <v>YES</v>
      </c>
      <c r="I66" s="2">
        <v>874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16:00</v>
      </c>
      <c r="B67" s="28">
        <f ca="1">IF(ISNA(MATCH(17,DATA_1!A2:A40,0)),"",INDIRECT("DATA_1!T"&amp;(MATCH(17,DATA_1!A2:A40,0))+1))</f>
        <v>0.81</v>
      </c>
      <c r="C67" s="85">
        <v>111</v>
      </c>
      <c r="D67" s="70">
        <f t="shared" ca="1" si="0"/>
        <v>89.910000000000011</v>
      </c>
      <c r="E67" s="15">
        <v>11.1</v>
      </c>
      <c r="F67" s="34">
        <v>7.37</v>
      </c>
      <c r="G67" s="88">
        <f t="shared" ca="1" si="1"/>
        <v>19.994818861149472</v>
      </c>
      <c r="H67" s="23" t="str">
        <f t="shared" ca="1" si="2"/>
        <v>YES</v>
      </c>
      <c r="I67" s="2">
        <v>881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20:00</v>
      </c>
      <c r="B68" s="28">
        <f ca="1">IF(ISNA(MATCH(18,DATA_1!A2:A40,0)),"",INDIRECT("DATA_1!T"&amp;(MATCH(18,DATA_1!A2:A40,0))+1))</f>
        <v>0.8</v>
      </c>
      <c r="C68" s="85">
        <v>111</v>
      </c>
      <c r="D68" s="70">
        <f t="shared" ca="1" si="0"/>
        <v>88.800000000000011</v>
      </c>
      <c r="E68" s="15">
        <v>11.6</v>
      </c>
      <c r="F68" s="34">
        <v>7.36</v>
      </c>
      <c r="G68" s="88">
        <f t="shared" ca="1" si="1"/>
        <v>19.265756635803022</v>
      </c>
      <c r="H68" s="23" t="str">
        <f t="shared" ca="1" si="2"/>
        <v>YES</v>
      </c>
      <c r="I68" s="2">
        <v>875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20:00</v>
      </c>
      <c r="B69" s="28">
        <f ca="1">IF(ISNA(MATCH(19,DATA_1!A2:A40,0)),"",INDIRECT("DATA_1!T"&amp;(MATCH(19,DATA_1!A2:A40,0))+1))</f>
        <v>0.72</v>
      </c>
      <c r="C69" s="85">
        <v>111</v>
      </c>
      <c r="D69" s="70">
        <f t="shared" ca="1" si="0"/>
        <v>79.92</v>
      </c>
      <c r="E69" s="15">
        <v>12.2</v>
      </c>
      <c r="F69" s="34">
        <v>7.37</v>
      </c>
      <c r="G69" s="88">
        <f t="shared" ca="1" si="1"/>
        <v>18.430970330151109</v>
      </c>
      <c r="H69" s="23" t="str">
        <f t="shared" ca="1" si="2"/>
        <v>YES</v>
      </c>
      <c r="I69" s="2">
        <v>1005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20:00</v>
      </c>
      <c r="B70" s="46">
        <f ca="1">IF(ISNA(MATCH(20,DATA_1!A2:A40,0)),"",INDIRECT("DATA_1!T"&amp;(MATCH(20,DATA_1!A2:A40,0))+1))</f>
        <v>0.67</v>
      </c>
      <c r="C70" s="85">
        <v>111</v>
      </c>
      <c r="D70" s="70">
        <f t="shared" ca="1" si="0"/>
        <v>74.37</v>
      </c>
      <c r="E70" s="15">
        <v>12.3</v>
      </c>
      <c r="F70" s="34">
        <v>7.37</v>
      </c>
      <c r="G70" s="88">
        <f t="shared" ca="1" si="1"/>
        <v>18.211434644827083</v>
      </c>
      <c r="H70" s="23" t="str">
        <f t="shared" ca="1" si="2"/>
        <v>YES</v>
      </c>
      <c r="I70" s="2">
        <v>978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16:00</v>
      </c>
      <c r="B71" s="46">
        <f ca="1">IF(ISNA(MATCH(21,DATA_1!A2:A40,0)),"",INDIRECT("DATA_1!T"&amp;(MATCH(21,DATA_1!A2:A40,0))+1))</f>
        <v>0.66</v>
      </c>
      <c r="C71" s="20">
        <v>111</v>
      </c>
      <c r="D71" s="70">
        <f t="shared" ca="1" si="0"/>
        <v>73.260000000000005</v>
      </c>
      <c r="E71" s="15">
        <v>12.6</v>
      </c>
      <c r="F71" s="34">
        <v>7.37</v>
      </c>
      <c r="G71" s="88">
        <f t="shared" ca="1" si="1"/>
        <v>17.635750187228243</v>
      </c>
      <c r="H71" s="23" t="str">
        <f t="shared" ca="1" si="2"/>
        <v>YES</v>
      </c>
      <c r="I71" s="2">
        <v>999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20:00</v>
      </c>
      <c r="B72" s="46">
        <f ca="1">IF(ISNA(MATCH(22,DATA_1!A2:A40,0)),"",INDIRECT("DATA_1!T"&amp;(MATCH(22,DATA_1!A2:A40,0))+1))</f>
        <v>0.65</v>
      </c>
      <c r="C72" s="85">
        <v>111</v>
      </c>
      <c r="D72" s="70">
        <f t="shared" ca="1" si="0"/>
        <v>72.150000000000006</v>
      </c>
      <c r="E72" s="15">
        <v>12.8</v>
      </c>
      <c r="F72" s="34">
        <v>7.33</v>
      </c>
      <c r="G72" s="88">
        <f t="shared" ca="1" si="1"/>
        <v>17.127882275611277</v>
      </c>
      <c r="H72" s="23" t="str">
        <f t="shared" ca="1" si="2"/>
        <v>YES</v>
      </c>
      <c r="I72" s="2">
        <v>1034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4:00</v>
      </c>
      <c r="B73" s="46">
        <f ca="1">IF(ISNA(MATCH(23,DATA_1!A2:A40,0)),"",INDIRECT("DATA_1!T"&amp;(MATCH(23,DATA_1!A2:A40,0))+1))</f>
        <v>0.66</v>
      </c>
      <c r="C73" s="85">
        <v>111</v>
      </c>
      <c r="D73" s="70">
        <f t="shared" ca="1" si="0"/>
        <v>73.260000000000005</v>
      </c>
      <c r="E73" s="15">
        <v>13</v>
      </c>
      <c r="F73" s="34">
        <v>7.37</v>
      </c>
      <c r="G73" s="88">
        <f t="shared" ca="1" si="1"/>
        <v>17.172656119578324</v>
      </c>
      <c r="H73" s="23" t="str">
        <f t="shared" ca="1" si="2"/>
        <v>YES</v>
      </c>
      <c r="I73" s="2">
        <v>1006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4:00</v>
      </c>
      <c r="B74" s="46">
        <f ca="1">IF(ISNA(MATCH(24,DATA_1!A2:A40,0)),"",INDIRECT("DATA_1!T"&amp;(MATCH(24,DATA_1!A2:A40,0))+1))</f>
        <v>0.7</v>
      </c>
      <c r="C74" s="85">
        <v>111</v>
      </c>
      <c r="D74" s="70">
        <f t="shared" ca="1" si="0"/>
        <v>77.699999999999989</v>
      </c>
      <c r="E74" s="15">
        <v>12.7</v>
      </c>
      <c r="F74" s="34">
        <v>7.36</v>
      </c>
      <c r="G74" s="88">
        <f t="shared" ca="1" si="1"/>
        <v>17.53373099485896</v>
      </c>
      <c r="H74" s="23" t="str">
        <f t="shared" ca="1" si="2"/>
        <v>YES</v>
      </c>
      <c r="I74" s="2">
        <v>1116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v>0.71</v>
      </c>
      <c r="C75" s="85">
        <v>111</v>
      </c>
      <c r="D75" s="70">
        <f t="shared" si="0"/>
        <v>78.81</v>
      </c>
      <c r="E75" s="15">
        <v>12.6</v>
      </c>
      <c r="F75" s="34">
        <v>7.32</v>
      </c>
      <c r="G75" s="88">
        <f t="shared" si="1"/>
        <v>17.411605749910898</v>
      </c>
      <c r="H75" s="23" t="str">
        <f t="shared" si="2"/>
        <v>YES</v>
      </c>
      <c r="I75" s="2">
        <v>899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24:00</v>
      </c>
      <c r="B76" s="46">
        <f ca="1">IF(ISNA(MATCH(26,DATA_1!A2:A40,0)),"",INDIRECT("DATA_1!T"&amp;(MATCH(26,DATA_1!A2:A40,0))+1))</f>
        <v>0.75</v>
      </c>
      <c r="C76" s="20">
        <v>111</v>
      </c>
      <c r="D76" s="70">
        <f t="shared" ca="1" si="0"/>
        <v>83.25</v>
      </c>
      <c r="E76" s="15">
        <v>12.5</v>
      </c>
      <c r="F76" s="34">
        <v>7.28</v>
      </c>
      <c r="G76" s="88">
        <f t="shared" ca="1" si="1"/>
        <v>17.349345761572849</v>
      </c>
      <c r="H76" s="23" t="str">
        <f t="shared" ca="1" si="2"/>
        <v>YES</v>
      </c>
      <c r="I76" s="2">
        <v>857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8:00</v>
      </c>
      <c r="B77" s="46">
        <f ca="1">IF(ISNA(MATCH(27,DATA_1!A2:A40,0)),"",INDIRECT("DATA_1!T"&amp;(MATCH(27,DATA_1!A2:A40,0))+1))</f>
        <v>0.78</v>
      </c>
      <c r="C77" s="85">
        <v>111</v>
      </c>
      <c r="D77" s="70">
        <f t="shared" ca="1" si="0"/>
        <v>86.58</v>
      </c>
      <c r="E77" s="15">
        <v>12.2</v>
      </c>
      <c r="F77" s="34">
        <v>7.31</v>
      </c>
      <c r="G77" s="88">
        <f t="shared" ca="1" si="1"/>
        <v>18.174625267423554</v>
      </c>
      <c r="H77" s="23" t="str">
        <f t="shared" ca="1" si="2"/>
        <v>YES</v>
      </c>
      <c r="I77" s="2">
        <v>806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20:00</v>
      </c>
      <c r="B78" s="46">
        <f ca="1">IF(ISNA(MATCH(28,DATA_1!A2:A40,0)),"",INDIRECT("DATA_1!T"&amp;(MATCH(28,DATA_1!A2:A40,0))+1))</f>
        <v>0.8</v>
      </c>
      <c r="C78" s="85">
        <v>111</v>
      </c>
      <c r="D78" s="70">
        <f t="shared" ca="1" si="0"/>
        <v>88.800000000000011</v>
      </c>
      <c r="E78" s="15">
        <v>11.6</v>
      </c>
      <c r="F78" s="34">
        <v>7.31</v>
      </c>
      <c r="G78" s="88">
        <f t="shared" ca="1" si="1"/>
        <v>18.935475760407616</v>
      </c>
      <c r="H78" s="23" t="str">
        <f t="shared" ca="1" si="2"/>
        <v>YES</v>
      </c>
      <c r="I78" s="2">
        <v>832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12:00</v>
      </c>
      <c r="B79" s="46">
        <f ca="1">IF(ISNA(MATCH(29,DATA_1!A2:A40,0)),"",INDIRECT("DATA_1!T"&amp;(MATCH(29,DATA_1!A2:A40,0))+1))</f>
        <v>0.78</v>
      </c>
      <c r="C79" s="85">
        <v>111</v>
      </c>
      <c r="D79" s="70">
        <f t="shared" ca="1" si="0"/>
        <v>86.58</v>
      </c>
      <c r="E79" s="15">
        <v>12.1</v>
      </c>
      <c r="F79" s="34">
        <v>7.32</v>
      </c>
      <c r="G79" s="88">
        <f t="shared" ca="1" si="1"/>
        <v>18.355296021588909</v>
      </c>
      <c r="H79" s="23" t="str">
        <f t="shared" ca="1" si="2"/>
        <v>YES</v>
      </c>
      <c r="I79" s="2">
        <v>829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8:00</v>
      </c>
      <c r="B80" s="46">
        <f ca="1">IF(ISNA(MATCH(30,DATA_1!A2:A40,0)),"",INDIRECT("DATA_1!T"&amp;(MATCH(30,DATA_1!A2:A40,0))+1))</f>
        <v>0.77</v>
      </c>
      <c r="C80" s="85">
        <v>111</v>
      </c>
      <c r="D80" s="70">
        <f t="shared" ca="1" si="0"/>
        <v>85.47</v>
      </c>
      <c r="E80" s="15">
        <v>12.5</v>
      </c>
      <c r="F80" s="34">
        <v>7.34</v>
      </c>
      <c r="G80" s="88">
        <f t="shared" ca="1" si="1"/>
        <v>17.778497495187022</v>
      </c>
      <c r="H80" s="23" t="str">
        <f t="shared" ca="1" si="2"/>
        <v>YES</v>
      </c>
      <c r="I80" s="2">
        <v>870</v>
      </c>
    </row>
    <row r="81" spans="1:9" ht="24.95" customHeight="1" thickTop="1" thickBot="1" x14ac:dyDescent="0.25">
      <c r="A81" s="38"/>
      <c r="B81" s="46" t="str">
        <f ca="1">IF(ISNA(MATCH(31,DATA_1!A2:A40,0)),"",INDIRECT("DATA_1!T"&amp;(MATCH(31,DATA_1!A2:A40,0))+1))</f>
        <v/>
      </c>
      <c r="C81" s="85"/>
      <c r="D81" s="17" t="str">
        <f t="shared" ca="1" si="0"/>
        <v/>
      </c>
      <c r="E81" s="77"/>
      <c r="F81" s="45"/>
      <c r="G81" s="17" t="str">
        <f t="shared" ca="1" si="1"/>
        <v/>
      </c>
      <c r="H81" s="33"/>
      <c r="I81" s="59"/>
    </row>
    <row r="82" spans="1:9" ht="16.5" thickTop="1" x14ac:dyDescent="0.3">
      <c r="A82" s="81" t="s">
        <v>41</v>
      </c>
      <c r="B82" s="8"/>
      <c r="C82" s="8"/>
      <c r="D82" s="26"/>
      <c r="E82" s="36"/>
      <c r="F82" s="43"/>
      <c r="G82" s="36"/>
      <c r="H82" s="109" t="s">
        <v>6</v>
      </c>
      <c r="I82" s="110"/>
    </row>
    <row r="83" spans="1:9" ht="25.5" customHeight="1" x14ac:dyDescent="0.2">
      <c r="A83" s="111" t="s">
        <v>70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59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S31" sqref="S31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3</v>
      </c>
      <c r="B1" s="66" t="s">
        <v>55</v>
      </c>
      <c r="C1" s="90" t="s">
        <v>1</v>
      </c>
      <c r="D1" s="90" t="s">
        <v>12</v>
      </c>
      <c r="E1" s="90" t="s">
        <v>39</v>
      </c>
      <c r="F1" s="90" t="s">
        <v>52</v>
      </c>
      <c r="G1" s="90" t="s">
        <v>22</v>
      </c>
      <c r="H1" s="90" t="s">
        <v>63</v>
      </c>
      <c r="I1" s="51" t="s">
        <v>67</v>
      </c>
      <c r="J1" s="51" t="s">
        <v>38</v>
      </c>
      <c r="K1" s="60" t="s">
        <v>7</v>
      </c>
      <c r="L1" s="62" t="s">
        <v>43</v>
      </c>
      <c r="M1" s="62" t="s">
        <v>56</v>
      </c>
      <c r="N1" s="62" t="s">
        <v>71</v>
      </c>
      <c r="O1" s="62" t="s">
        <v>44</v>
      </c>
      <c r="P1" s="62" t="s">
        <v>53</v>
      </c>
      <c r="Q1" s="62" t="s">
        <v>15</v>
      </c>
      <c r="R1" s="83" t="s">
        <v>50</v>
      </c>
      <c r="S1" s="53" t="s">
        <v>51</v>
      </c>
      <c r="T1" s="68" t="s">
        <v>61</v>
      </c>
    </row>
    <row r="2" spans="1:20" x14ac:dyDescent="0.2">
      <c r="A2" s="35">
        <v>1</v>
      </c>
      <c r="B2" s="35" t="s">
        <v>66</v>
      </c>
      <c r="C2" s="82">
        <v>5.1562499999999997E-2</v>
      </c>
      <c r="D2" s="82">
        <v>999.99</v>
      </c>
      <c r="E2" s="82">
        <v>5.5076109999999998E-2</v>
      </c>
      <c r="F2" s="82">
        <v>999.99</v>
      </c>
      <c r="G2" s="82">
        <v>5.415354E-2</v>
      </c>
      <c r="H2" s="82">
        <v>5.4742430000000002E-2</v>
      </c>
      <c r="I2" s="44">
        <v>16</v>
      </c>
      <c r="J2" s="44">
        <v>0</v>
      </c>
      <c r="K2" s="27">
        <v>5.717643E-2</v>
      </c>
      <c r="L2" s="82">
        <v>0.82553290000000001</v>
      </c>
      <c r="M2" s="82">
        <v>999.99</v>
      </c>
      <c r="N2" s="82">
        <v>0.81263660000000004</v>
      </c>
      <c r="O2" s="82">
        <v>999.99</v>
      </c>
      <c r="P2" s="82">
        <v>0.80780790000000002</v>
      </c>
      <c r="Q2" s="82">
        <v>0.82470849999999996</v>
      </c>
      <c r="R2" s="44">
        <v>16</v>
      </c>
      <c r="S2" s="87">
        <v>0.80780790000000002</v>
      </c>
      <c r="T2" s="31">
        <f t="shared" ref="T2:T45" si="0">IF(S2=0,"",ROUND(S2,2))</f>
        <v>0.81</v>
      </c>
    </row>
    <row r="3" spans="1:20" x14ac:dyDescent="0.2">
      <c r="A3" s="35">
        <v>2</v>
      </c>
      <c r="B3" s="35" t="s">
        <v>66</v>
      </c>
      <c r="C3" s="82">
        <v>5.6940890000000001E-2</v>
      </c>
      <c r="D3" s="82">
        <v>999.99</v>
      </c>
      <c r="E3" s="82">
        <v>5.4330200000000002E-2</v>
      </c>
      <c r="F3" s="82">
        <v>999.99</v>
      </c>
      <c r="G3" s="82">
        <v>5.287766E-2</v>
      </c>
      <c r="H3" s="82">
        <v>5.8040130000000002E-2</v>
      </c>
      <c r="I3" s="44">
        <v>20</v>
      </c>
      <c r="J3" s="44">
        <v>0</v>
      </c>
      <c r="K3" s="27">
        <v>5.8236419999999997E-2</v>
      </c>
      <c r="L3" s="82">
        <v>0.82859510000000003</v>
      </c>
      <c r="M3" s="82">
        <v>999.99</v>
      </c>
      <c r="N3" s="82">
        <v>0.81752420000000003</v>
      </c>
      <c r="O3" s="82">
        <v>999.99</v>
      </c>
      <c r="P3" s="82">
        <v>0.82188190000000005</v>
      </c>
      <c r="Q3" s="82">
        <v>0.83130400000000004</v>
      </c>
      <c r="R3" s="44">
        <v>8</v>
      </c>
      <c r="S3" s="87">
        <v>0.81752420000000003</v>
      </c>
      <c r="T3" s="31">
        <f t="shared" si="0"/>
        <v>0.82</v>
      </c>
    </row>
    <row r="4" spans="1:20" x14ac:dyDescent="0.2">
      <c r="A4" s="35">
        <v>3</v>
      </c>
      <c r="B4" s="35" t="s">
        <v>66</v>
      </c>
      <c r="C4" s="82">
        <v>6.0238590000000002E-2</v>
      </c>
      <c r="D4" s="82">
        <v>999.99</v>
      </c>
      <c r="E4" s="82">
        <v>5.5252780000000001E-2</v>
      </c>
      <c r="F4" s="82">
        <v>5.5645359999999998E-2</v>
      </c>
      <c r="G4" s="82">
        <v>5.8550480000000002E-2</v>
      </c>
      <c r="H4" s="82">
        <v>5.6371640000000001E-2</v>
      </c>
      <c r="I4" s="44">
        <v>16</v>
      </c>
      <c r="J4" s="44">
        <v>0</v>
      </c>
      <c r="K4" s="27">
        <v>6.2535190000000004E-2</v>
      </c>
      <c r="L4" s="82">
        <v>0.83642709999999998</v>
      </c>
      <c r="M4" s="82">
        <v>999.99</v>
      </c>
      <c r="N4" s="82">
        <v>0.83330599999999999</v>
      </c>
      <c r="O4" s="82">
        <v>0.84361140000000001</v>
      </c>
      <c r="P4" s="82">
        <v>0.84007799999999999</v>
      </c>
      <c r="Q4" s="82">
        <v>0.8420803</v>
      </c>
      <c r="R4" s="44">
        <v>8</v>
      </c>
      <c r="S4" s="87">
        <v>0.83330599999999999</v>
      </c>
      <c r="T4" s="31">
        <f t="shared" si="0"/>
        <v>0.83</v>
      </c>
    </row>
    <row r="5" spans="1:20" x14ac:dyDescent="0.2">
      <c r="A5" s="35">
        <v>4</v>
      </c>
      <c r="B5" s="35" t="s">
        <v>66</v>
      </c>
      <c r="C5" s="82">
        <v>5.5154639999999998E-2</v>
      </c>
      <c r="D5" s="82">
        <v>999.99</v>
      </c>
      <c r="E5" s="82">
        <v>5.7490510000000002E-2</v>
      </c>
      <c r="F5" s="82">
        <v>999.99</v>
      </c>
      <c r="G5" s="82">
        <v>5.2858040000000002E-2</v>
      </c>
      <c r="H5" s="82">
        <v>5.3819859999999997E-2</v>
      </c>
      <c r="I5" s="44">
        <v>8</v>
      </c>
      <c r="J5" s="44">
        <v>0</v>
      </c>
      <c r="K5" s="27">
        <v>5.7608279999999998E-2</v>
      </c>
      <c r="L5" s="82">
        <v>0.82930170000000003</v>
      </c>
      <c r="M5" s="82">
        <v>999.99</v>
      </c>
      <c r="N5" s="82">
        <v>0.81711199999999995</v>
      </c>
      <c r="O5" s="82">
        <v>999.99</v>
      </c>
      <c r="P5" s="82">
        <v>0.82029200000000002</v>
      </c>
      <c r="Q5" s="82">
        <v>0.82364850000000001</v>
      </c>
      <c r="R5" s="44">
        <v>8</v>
      </c>
      <c r="S5" s="87">
        <v>0.81711199999999995</v>
      </c>
      <c r="T5" s="31">
        <f t="shared" si="0"/>
        <v>0.82</v>
      </c>
    </row>
    <row r="6" spans="1:20" x14ac:dyDescent="0.2">
      <c r="A6" s="35">
        <v>5</v>
      </c>
      <c r="B6" s="35" t="s">
        <v>66</v>
      </c>
      <c r="C6" s="82">
        <v>5.3721709999999999E-2</v>
      </c>
      <c r="D6" s="82">
        <v>999.99</v>
      </c>
      <c r="E6" s="82">
        <v>5.5095739999999997E-2</v>
      </c>
      <c r="F6" s="82">
        <v>5.7902710000000003E-2</v>
      </c>
      <c r="G6" s="82">
        <v>6.9444640000000002E-2</v>
      </c>
      <c r="H6" s="82">
        <v>5.4369479999999998E-2</v>
      </c>
      <c r="I6" s="44">
        <v>16</v>
      </c>
      <c r="J6" s="44">
        <v>0</v>
      </c>
      <c r="K6" s="27">
        <v>7.4724890000000002E-2</v>
      </c>
      <c r="L6" s="82">
        <v>0.83171609999999996</v>
      </c>
      <c r="M6" s="82">
        <v>999.99</v>
      </c>
      <c r="N6" s="82">
        <v>0.81416770000000005</v>
      </c>
      <c r="O6" s="82">
        <v>0.79979920000000004</v>
      </c>
      <c r="P6" s="82">
        <v>0.77441859999999996</v>
      </c>
      <c r="Q6" s="82">
        <v>0.75645790000000002</v>
      </c>
      <c r="R6" s="44">
        <v>20</v>
      </c>
      <c r="S6" s="87">
        <v>0.75645790000000002</v>
      </c>
      <c r="T6" s="31">
        <f t="shared" si="0"/>
        <v>0.76</v>
      </c>
    </row>
    <row r="7" spans="1:20" x14ac:dyDescent="0.2">
      <c r="A7" s="35">
        <v>6</v>
      </c>
      <c r="B7" s="35" t="s">
        <v>66</v>
      </c>
      <c r="C7" s="82">
        <v>999.99</v>
      </c>
      <c r="D7" s="82">
        <v>5.4919099999999998E-2</v>
      </c>
      <c r="E7" s="82">
        <v>5.1582120000000002E-2</v>
      </c>
      <c r="F7" s="82">
        <v>2.639795E-2</v>
      </c>
      <c r="G7" s="82">
        <v>2.2197330000000001E-2</v>
      </c>
      <c r="H7" s="82">
        <v>2.3728389999999999E-2</v>
      </c>
      <c r="I7" s="44">
        <v>4</v>
      </c>
      <c r="J7" s="44">
        <v>0</v>
      </c>
      <c r="K7" s="27">
        <v>5.5566839999999999E-2</v>
      </c>
      <c r="L7" s="82">
        <v>999.99</v>
      </c>
      <c r="M7" s="82">
        <v>0.73278520000000003</v>
      </c>
      <c r="N7" s="82">
        <v>0.72795650000000001</v>
      </c>
      <c r="O7" s="82">
        <v>0.73349200000000003</v>
      </c>
      <c r="P7" s="82">
        <v>0.74061730000000003</v>
      </c>
      <c r="Q7" s="82">
        <v>0.75251259999999998</v>
      </c>
      <c r="R7" s="44">
        <v>8</v>
      </c>
      <c r="S7" s="87">
        <v>0.72795650000000001</v>
      </c>
      <c r="T7" s="31">
        <f t="shared" si="0"/>
        <v>0.73</v>
      </c>
    </row>
    <row r="8" spans="1:20" x14ac:dyDescent="0.2">
      <c r="A8" s="35">
        <v>7</v>
      </c>
      <c r="B8" s="35" t="s">
        <v>66</v>
      </c>
      <c r="C8" s="82">
        <v>2.590723E-2</v>
      </c>
      <c r="D8" s="82">
        <v>2.5534270000000001E-2</v>
      </c>
      <c r="E8" s="82">
        <v>2.249176E-2</v>
      </c>
      <c r="F8" s="82">
        <v>2.6044620000000001E-2</v>
      </c>
      <c r="G8" s="82">
        <v>2.235434E-2</v>
      </c>
      <c r="H8" s="82">
        <v>2.3237669999999998E-2</v>
      </c>
      <c r="I8" s="44">
        <v>4</v>
      </c>
      <c r="J8" s="44">
        <v>0</v>
      </c>
      <c r="K8" s="27">
        <v>2.688867E-2</v>
      </c>
      <c r="L8" s="82">
        <v>0.74314950000000002</v>
      </c>
      <c r="M8" s="82">
        <v>0.74214829999999998</v>
      </c>
      <c r="N8" s="82">
        <v>0.75628130000000005</v>
      </c>
      <c r="O8" s="82">
        <v>0.74733039999999995</v>
      </c>
      <c r="P8" s="82">
        <v>0.74715379999999998</v>
      </c>
      <c r="Q8" s="82">
        <v>0.75033360000000004</v>
      </c>
      <c r="R8" s="44">
        <v>4</v>
      </c>
      <c r="S8" s="87">
        <v>0.74214829999999998</v>
      </c>
      <c r="T8" s="31">
        <f t="shared" si="0"/>
        <v>0.74</v>
      </c>
    </row>
    <row r="9" spans="1:20" x14ac:dyDescent="0.2">
      <c r="A9" s="35">
        <v>8</v>
      </c>
      <c r="B9" s="35" t="s">
        <v>66</v>
      </c>
      <c r="C9" s="82">
        <v>2.561279E-2</v>
      </c>
      <c r="D9" s="82">
        <v>2.453317E-2</v>
      </c>
      <c r="E9" s="82">
        <v>2.6064239999999999E-2</v>
      </c>
      <c r="F9" s="82">
        <v>999.99</v>
      </c>
      <c r="G9" s="82">
        <v>2.5553900000000001E-2</v>
      </c>
      <c r="H9" s="82">
        <v>3.0559329999999999E-2</v>
      </c>
      <c r="I9" s="44">
        <v>20</v>
      </c>
      <c r="J9" s="44">
        <v>0</v>
      </c>
      <c r="K9" s="27">
        <v>3.079486E-2</v>
      </c>
      <c r="L9" s="82">
        <v>0.7596967</v>
      </c>
      <c r="M9" s="82">
        <v>0.75027480000000002</v>
      </c>
      <c r="N9" s="82">
        <v>0.74950930000000004</v>
      </c>
      <c r="O9" s="82">
        <v>999.99</v>
      </c>
      <c r="P9" s="82">
        <v>0.75904910000000003</v>
      </c>
      <c r="Q9" s="82">
        <v>0.75993239999999995</v>
      </c>
      <c r="R9" s="44">
        <v>8</v>
      </c>
      <c r="S9" s="87">
        <v>0.74950930000000004</v>
      </c>
      <c r="T9" s="31">
        <f t="shared" si="0"/>
        <v>0.75</v>
      </c>
    </row>
    <row r="10" spans="1:20" x14ac:dyDescent="0.2">
      <c r="A10" s="35">
        <v>9</v>
      </c>
      <c r="B10" s="35" t="s">
        <v>66</v>
      </c>
      <c r="C10" s="82">
        <v>3.3660740000000001E-2</v>
      </c>
      <c r="D10" s="82">
        <v>4.127683E-2</v>
      </c>
      <c r="E10" s="82">
        <v>3.3935550000000002E-2</v>
      </c>
      <c r="F10" s="82">
        <v>2.700644E-2</v>
      </c>
      <c r="G10" s="82">
        <v>999.99</v>
      </c>
      <c r="H10" s="82">
        <v>2.4670600000000001E-2</v>
      </c>
      <c r="I10" s="44">
        <v>4</v>
      </c>
      <c r="J10" s="44">
        <v>0</v>
      </c>
      <c r="K10" s="27">
        <v>4.3357510000000002E-2</v>
      </c>
      <c r="L10" s="82">
        <v>0.76275899999999996</v>
      </c>
      <c r="M10" s="82">
        <v>0.77223980000000003</v>
      </c>
      <c r="N10" s="82">
        <v>0.74939160000000005</v>
      </c>
      <c r="O10" s="82">
        <v>0.75469140000000001</v>
      </c>
      <c r="P10" s="82">
        <v>999.99</v>
      </c>
      <c r="Q10" s="82">
        <v>0.79803259999999998</v>
      </c>
      <c r="R10" s="44">
        <v>8</v>
      </c>
      <c r="S10" s="87">
        <v>0.74939160000000005</v>
      </c>
      <c r="T10" s="31">
        <f t="shared" si="0"/>
        <v>0.75</v>
      </c>
    </row>
    <row r="11" spans="1:20" x14ac:dyDescent="0.2">
      <c r="A11" s="35">
        <v>10</v>
      </c>
      <c r="B11" s="35" t="s">
        <v>66</v>
      </c>
      <c r="C11" s="82">
        <v>2.3610599999999999E-2</v>
      </c>
      <c r="D11" s="82">
        <v>999.99</v>
      </c>
      <c r="E11" s="82">
        <v>2.5671659999999999E-2</v>
      </c>
      <c r="F11" s="82">
        <v>999.99</v>
      </c>
      <c r="G11" s="82">
        <v>2.364987E-2</v>
      </c>
      <c r="H11" s="82">
        <v>2.5769810000000001E-2</v>
      </c>
      <c r="I11" s="44">
        <v>8</v>
      </c>
      <c r="J11" s="44">
        <v>0</v>
      </c>
      <c r="K11" s="27">
        <v>2.8027159999999999E-2</v>
      </c>
      <c r="L11" s="82">
        <v>0.81075220000000003</v>
      </c>
      <c r="M11" s="82">
        <v>999.99</v>
      </c>
      <c r="N11" s="82">
        <v>0.81134099999999998</v>
      </c>
      <c r="O11" s="82">
        <v>999.99</v>
      </c>
      <c r="P11" s="82">
        <v>0.82252970000000003</v>
      </c>
      <c r="Q11" s="82">
        <v>0.81976190000000004</v>
      </c>
      <c r="R11" s="44">
        <v>8</v>
      </c>
      <c r="S11" s="87">
        <v>0.81134099999999998</v>
      </c>
      <c r="T11" s="31">
        <f t="shared" si="0"/>
        <v>0.81</v>
      </c>
    </row>
    <row r="12" spans="1:20" x14ac:dyDescent="0.2">
      <c r="A12" s="35">
        <v>11</v>
      </c>
      <c r="B12" s="35" t="s">
        <v>66</v>
      </c>
      <c r="C12" s="82">
        <v>999.99</v>
      </c>
      <c r="D12" s="82">
        <v>2.4847259999999999E-2</v>
      </c>
      <c r="E12" s="82">
        <v>999.99</v>
      </c>
      <c r="F12" s="82">
        <v>2.3571350000000001E-2</v>
      </c>
      <c r="G12" s="82">
        <v>999.99</v>
      </c>
      <c r="H12" s="82">
        <v>2.6064239999999999E-2</v>
      </c>
      <c r="I12" s="44">
        <v>12</v>
      </c>
      <c r="J12" s="44">
        <v>0</v>
      </c>
      <c r="K12" s="27">
        <v>2.7045719999999999E-2</v>
      </c>
      <c r="L12" s="82">
        <v>999.99</v>
      </c>
      <c r="M12" s="82">
        <v>0.80557009999999996</v>
      </c>
      <c r="N12" s="82">
        <v>999.99</v>
      </c>
      <c r="O12" s="82">
        <v>0.81075220000000003</v>
      </c>
      <c r="P12" s="82">
        <v>999.99</v>
      </c>
      <c r="Q12" s="82">
        <v>0.81181219999999998</v>
      </c>
      <c r="R12" s="44">
        <v>4</v>
      </c>
      <c r="S12" s="87">
        <v>0.80557009999999996</v>
      </c>
      <c r="T12" s="31">
        <f t="shared" si="0"/>
        <v>0.81</v>
      </c>
    </row>
    <row r="13" spans="1:20" x14ac:dyDescent="0.2">
      <c r="A13" s="35">
        <v>12</v>
      </c>
      <c r="B13" s="35" t="s">
        <v>66</v>
      </c>
      <c r="C13" s="82">
        <v>2.3355440000000002E-2</v>
      </c>
      <c r="D13" s="82">
        <v>999.99</v>
      </c>
      <c r="E13" s="82">
        <v>2.5396849999999999E-2</v>
      </c>
      <c r="F13" s="82">
        <v>2.7379400000000002E-2</v>
      </c>
      <c r="G13" s="82">
        <v>999.99</v>
      </c>
      <c r="H13" s="82">
        <v>2.6653139999999999E-2</v>
      </c>
      <c r="I13" s="44">
        <v>12</v>
      </c>
      <c r="J13" s="44">
        <v>0</v>
      </c>
      <c r="K13" s="27">
        <v>2.7497190000000001E-2</v>
      </c>
      <c r="L13" s="82">
        <v>0.83000830000000003</v>
      </c>
      <c r="M13" s="82">
        <v>999.99</v>
      </c>
      <c r="N13" s="82">
        <v>0.82217629999999997</v>
      </c>
      <c r="O13" s="82">
        <v>0.82470849999999996</v>
      </c>
      <c r="P13" s="82">
        <v>999.99</v>
      </c>
      <c r="Q13" s="82">
        <v>0.81681760000000003</v>
      </c>
      <c r="R13" s="44">
        <v>8</v>
      </c>
      <c r="S13" s="87">
        <v>0.81681760000000003</v>
      </c>
      <c r="T13" s="31">
        <f t="shared" si="0"/>
        <v>0.82</v>
      </c>
    </row>
    <row r="14" spans="1:20" x14ac:dyDescent="0.2">
      <c r="A14" s="35">
        <v>13</v>
      </c>
      <c r="B14" s="35" t="s">
        <v>66</v>
      </c>
      <c r="C14" s="82">
        <v>2.6535340000000001E-2</v>
      </c>
      <c r="D14" s="82">
        <v>999.99</v>
      </c>
      <c r="E14" s="82">
        <v>999.99</v>
      </c>
      <c r="F14" s="82">
        <v>2.6810150000000001E-2</v>
      </c>
      <c r="G14" s="82">
        <v>2.688867E-2</v>
      </c>
      <c r="H14" s="82">
        <v>2.6554990000000001E-2</v>
      </c>
      <c r="I14" s="44">
        <v>12</v>
      </c>
      <c r="J14" s="44">
        <v>0</v>
      </c>
      <c r="K14" s="27">
        <v>2.6947570000000001E-2</v>
      </c>
      <c r="L14" s="82">
        <v>0.82070419999999999</v>
      </c>
      <c r="M14" s="82">
        <v>999.99</v>
      </c>
      <c r="N14" s="82">
        <v>999.99</v>
      </c>
      <c r="O14" s="82">
        <v>0.81722969999999995</v>
      </c>
      <c r="P14" s="82">
        <v>0.82688720000000004</v>
      </c>
      <c r="Q14" s="82">
        <v>0.83112730000000001</v>
      </c>
      <c r="R14" s="44">
        <v>12</v>
      </c>
      <c r="S14" s="87">
        <v>0.81722969999999995</v>
      </c>
      <c r="T14" s="31">
        <f t="shared" si="0"/>
        <v>0.82</v>
      </c>
    </row>
    <row r="15" spans="1:20" x14ac:dyDescent="0.2">
      <c r="A15" s="35">
        <v>14</v>
      </c>
      <c r="B15" s="35" t="s">
        <v>66</v>
      </c>
      <c r="C15" s="82">
        <v>999.99</v>
      </c>
      <c r="D15" s="82">
        <v>999.99</v>
      </c>
      <c r="E15" s="82">
        <v>2.376764E-2</v>
      </c>
      <c r="F15" s="82">
        <v>2.6731629999999999E-2</v>
      </c>
      <c r="G15" s="82">
        <v>999.99</v>
      </c>
      <c r="H15" s="82">
        <v>2.3198400000000001E-2</v>
      </c>
      <c r="I15" s="44">
        <v>8</v>
      </c>
      <c r="J15" s="44">
        <v>0</v>
      </c>
      <c r="K15" s="27">
        <v>2.7654209999999999E-2</v>
      </c>
      <c r="L15" s="82">
        <v>999.99</v>
      </c>
      <c r="M15" s="82">
        <v>999.99</v>
      </c>
      <c r="N15" s="82">
        <v>0.82706400000000002</v>
      </c>
      <c r="O15" s="82">
        <v>0.82411959999999995</v>
      </c>
      <c r="P15" s="82">
        <v>999.99</v>
      </c>
      <c r="Q15" s="82">
        <v>0.83778149999999996</v>
      </c>
      <c r="R15" s="44">
        <v>12</v>
      </c>
      <c r="S15" s="87">
        <v>0.82411959999999995</v>
      </c>
      <c r="T15" s="31">
        <f t="shared" si="0"/>
        <v>0.82</v>
      </c>
    </row>
    <row r="16" spans="1:20" x14ac:dyDescent="0.2">
      <c r="A16" s="35">
        <v>15</v>
      </c>
      <c r="B16" s="35" t="s">
        <v>66</v>
      </c>
      <c r="C16" s="82">
        <v>999.99</v>
      </c>
      <c r="D16" s="82">
        <v>999.99</v>
      </c>
      <c r="E16" s="82">
        <v>2.612314E-2</v>
      </c>
      <c r="F16" s="82">
        <v>2.885159E-2</v>
      </c>
      <c r="G16" s="82">
        <v>999.99</v>
      </c>
      <c r="H16" s="82">
        <v>3.1835210000000003E-2</v>
      </c>
      <c r="I16" s="44">
        <v>20</v>
      </c>
      <c r="J16" s="44">
        <v>0</v>
      </c>
      <c r="K16" s="27">
        <v>3.4367370000000001E-2</v>
      </c>
      <c r="L16" s="82">
        <v>999.99</v>
      </c>
      <c r="M16" s="82">
        <v>999.99</v>
      </c>
      <c r="N16" s="82">
        <v>0.8283007</v>
      </c>
      <c r="O16" s="82">
        <v>0.83277610000000002</v>
      </c>
      <c r="P16" s="82">
        <v>999.99</v>
      </c>
      <c r="Q16" s="82">
        <v>0.8278295</v>
      </c>
      <c r="R16" s="44">
        <v>20</v>
      </c>
      <c r="S16" s="87">
        <v>0.8278295</v>
      </c>
      <c r="T16" s="31">
        <f t="shared" si="0"/>
        <v>0.83</v>
      </c>
    </row>
    <row r="17" spans="1:20" x14ac:dyDescent="0.2">
      <c r="A17" s="35">
        <v>16</v>
      </c>
      <c r="B17" s="35" t="s">
        <v>66</v>
      </c>
      <c r="C17" s="82">
        <v>999.99</v>
      </c>
      <c r="D17" s="82">
        <v>999.99</v>
      </c>
      <c r="E17" s="82">
        <v>3.2600770000000001E-2</v>
      </c>
      <c r="F17" s="82">
        <v>3.395517E-2</v>
      </c>
      <c r="G17" s="82">
        <v>3.3915899999999999E-2</v>
      </c>
      <c r="H17" s="82">
        <v>3.2247440000000002E-2</v>
      </c>
      <c r="I17" s="44">
        <v>20</v>
      </c>
      <c r="J17" s="44">
        <v>0</v>
      </c>
      <c r="K17" s="27">
        <v>3.5034759999999998E-2</v>
      </c>
      <c r="L17" s="82">
        <v>999.99</v>
      </c>
      <c r="M17" s="82">
        <v>999.99</v>
      </c>
      <c r="N17" s="82">
        <v>0.82512070000000004</v>
      </c>
      <c r="O17" s="82">
        <v>0.82824169999999997</v>
      </c>
      <c r="P17" s="82">
        <v>0.83630930000000003</v>
      </c>
      <c r="Q17" s="82">
        <v>0.83931259999999996</v>
      </c>
      <c r="R17" s="44">
        <v>12</v>
      </c>
      <c r="S17" s="87">
        <v>0.82512070000000004</v>
      </c>
      <c r="T17" s="31">
        <f t="shared" si="0"/>
        <v>0.83</v>
      </c>
    </row>
    <row r="18" spans="1:20" x14ac:dyDescent="0.2">
      <c r="A18" s="35">
        <v>17</v>
      </c>
      <c r="B18" s="35" t="s">
        <v>66</v>
      </c>
      <c r="C18" s="82">
        <v>3.3837399999999997E-2</v>
      </c>
      <c r="D18" s="82">
        <v>999.99</v>
      </c>
      <c r="E18" s="82">
        <v>3.110895E-2</v>
      </c>
      <c r="F18" s="82">
        <v>3.4249599999999998E-2</v>
      </c>
      <c r="G18" s="82">
        <v>3.4524409999999998E-2</v>
      </c>
      <c r="H18" s="82">
        <v>3.3798130000000003E-2</v>
      </c>
      <c r="I18" s="44">
        <v>20</v>
      </c>
      <c r="J18" s="44">
        <v>0</v>
      </c>
      <c r="K18" s="27">
        <v>3.7135069999999999E-2</v>
      </c>
      <c r="L18" s="82">
        <v>0.82088090000000002</v>
      </c>
      <c r="M18" s="82">
        <v>999.99</v>
      </c>
      <c r="N18" s="82">
        <v>0.82229410000000003</v>
      </c>
      <c r="O18" s="82">
        <v>0.82205859999999997</v>
      </c>
      <c r="P18" s="82">
        <v>0.81434430000000002</v>
      </c>
      <c r="Q18" s="82">
        <v>0.82565080000000002</v>
      </c>
      <c r="R18" s="44">
        <v>16</v>
      </c>
      <c r="S18" s="87">
        <v>0.81434430000000002</v>
      </c>
      <c r="T18" s="31">
        <f t="shared" si="0"/>
        <v>0.81</v>
      </c>
    </row>
    <row r="19" spans="1:20" x14ac:dyDescent="0.2">
      <c r="A19" s="35">
        <v>18</v>
      </c>
      <c r="B19" s="35" t="s">
        <v>66</v>
      </c>
      <c r="C19" s="82">
        <v>999.99</v>
      </c>
      <c r="D19" s="82">
        <v>999.99</v>
      </c>
      <c r="E19" s="82">
        <v>3.1580049999999998E-2</v>
      </c>
      <c r="F19" s="82">
        <v>3.4661810000000001E-2</v>
      </c>
      <c r="G19" s="82">
        <v>999.99</v>
      </c>
      <c r="H19" s="82">
        <v>3.110895E-2</v>
      </c>
      <c r="I19" s="44">
        <v>12</v>
      </c>
      <c r="J19" s="44">
        <v>0</v>
      </c>
      <c r="K19" s="27">
        <v>3.7861359999999997E-2</v>
      </c>
      <c r="L19" s="82">
        <v>999.99</v>
      </c>
      <c r="M19" s="82">
        <v>999.99</v>
      </c>
      <c r="N19" s="82">
        <v>0.81016330000000003</v>
      </c>
      <c r="O19" s="82">
        <v>0.80945670000000003</v>
      </c>
      <c r="P19" s="82">
        <v>999.99</v>
      </c>
      <c r="Q19" s="82">
        <v>0.7967959</v>
      </c>
      <c r="R19" s="44">
        <v>20</v>
      </c>
      <c r="S19" s="87">
        <v>0.7967959</v>
      </c>
      <c r="T19" s="31">
        <f t="shared" si="0"/>
        <v>0.8</v>
      </c>
    </row>
    <row r="20" spans="1:20" x14ac:dyDescent="0.2">
      <c r="A20" s="35">
        <v>19</v>
      </c>
      <c r="B20" s="35" t="s">
        <v>66</v>
      </c>
      <c r="C20" s="82">
        <v>3.120709E-2</v>
      </c>
      <c r="D20" s="82">
        <v>999.99</v>
      </c>
      <c r="E20" s="82">
        <v>3.5113279999999997E-2</v>
      </c>
      <c r="F20" s="82">
        <v>3.4975890000000003E-2</v>
      </c>
      <c r="G20" s="82">
        <v>999.99</v>
      </c>
      <c r="H20" s="82">
        <v>3.2110020000000003E-2</v>
      </c>
      <c r="I20" s="44">
        <v>12</v>
      </c>
      <c r="J20" s="44">
        <v>0</v>
      </c>
      <c r="K20" s="27">
        <v>3.5878809999999997E-2</v>
      </c>
      <c r="L20" s="82">
        <v>0.80468680000000004</v>
      </c>
      <c r="M20" s="82">
        <v>999.99</v>
      </c>
      <c r="N20" s="82">
        <v>0.7844295</v>
      </c>
      <c r="O20" s="82">
        <v>0.76717550000000001</v>
      </c>
      <c r="P20" s="82">
        <v>999.99</v>
      </c>
      <c r="Q20" s="82">
        <v>0.7194178</v>
      </c>
      <c r="R20" s="44">
        <v>20</v>
      </c>
      <c r="S20" s="87">
        <v>0.7194178</v>
      </c>
      <c r="T20" s="31">
        <f t="shared" si="0"/>
        <v>0.72</v>
      </c>
    </row>
    <row r="21" spans="1:20" x14ac:dyDescent="0.2">
      <c r="A21" s="35">
        <v>20</v>
      </c>
      <c r="B21" s="35" t="s">
        <v>66</v>
      </c>
      <c r="C21" s="82">
        <v>999.99</v>
      </c>
      <c r="D21" s="82">
        <v>3.5898439999999997E-2</v>
      </c>
      <c r="E21" s="82">
        <v>999.99</v>
      </c>
      <c r="F21" s="82">
        <v>3.4347750000000003E-2</v>
      </c>
      <c r="G21" s="82">
        <v>999.99</v>
      </c>
      <c r="H21" s="82">
        <v>3.4406649999999997E-2</v>
      </c>
      <c r="I21" s="44">
        <v>4</v>
      </c>
      <c r="J21" s="44">
        <v>0</v>
      </c>
      <c r="K21" s="27">
        <v>3.7095830000000003E-2</v>
      </c>
      <c r="L21" s="82">
        <v>999.99</v>
      </c>
      <c r="M21" s="82">
        <v>0.68967970000000001</v>
      </c>
      <c r="N21" s="82">
        <v>999.99</v>
      </c>
      <c r="O21" s="82">
        <v>0.68396760000000001</v>
      </c>
      <c r="P21" s="82">
        <v>999.99</v>
      </c>
      <c r="Q21" s="82">
        <v>0.67166020000000004</v>
      </c>
      <c r="R21" s="44">
        <v>20</v>
      </c>
      <c r="S21" s="87">
        <v>0.67166020000000004</v>
      </c>
      <c r="T21" s="31">
        <f t="shared" si="0"/>
        <v>0.67</v>
      </c>
    </row>
    <row r="22" spans="1:20" x14ac:dyDescent="0.2">
      <c r="A22" s="35">
        <v>21</v>
      </c>
      <c r="B22" s="35" t="s">
        <v>66</v>
      </c>
      <c r="C22" s="82">
        <v>3.2404450000000001E-2</v>
      </c>
      <c r="D22" s="82">
        <v>3.5446989999999998E-2</v>
      </c>
      <c r="E22" s="82">
        <v>999.99</v>
      </c>
      <c r="F22" s="82">
        <v>999.99</v>
      </c>
      <c r="G22" s="82">
        <v>3.3503690000000003E-2</v>
      </c>
      <c r="H22" s="82">
        <v>3.1638920000000001E-2</v>
      </c>
      <c r="I22" s="44">
        <v>4</v>
      </c>
      <c r="J22" s="44">
        <v>0</v>
      </c>
      <c r="K22" s="27">
        <v>3.6153629999999999E-2</v>
      </c>
      <c r="L22" s="82">
        <v>0.68655860000000002</v>
      </c>
      <c r="M22" s="82">
        <v>0.67195459999999996</v>
      </c>
      <c r="N22" s="82">
        <v>999.99</v>
      </c>
      <c r="O22" s="82">
        <v>999.99</v>
      </c>
      <c r="P22" s="82">
        <v>0.65623160000000003</v>
      </c>
      <c r="Q22" s="82">
        <v>0.67654780000000003</v>
      </c>
      <c r="R22" s="44">
        <v>16</v>
      </c>
      <c r="S22" s="87">
        <v>0.65623160000000003</v>
      </c>
      <c r="T22" s="31">
        <f t="shared" si="0"/>
        <v>0.66</v>
      </c>
    </row>
    <row r="23" spans="1:20" x14ac:dyDescent="0.2">
      <c r="A23" s="35">
        <v>22</v>
      </c>
      <c r="B23" s="35" t="s">
        <v>66</v>
      </c>
      <c r="C23" s="82">
        <v>3.4524409999999998E-2</v>
      </c>
      <c r="D23" s="82">
        <v>3.3503690000000003E-2</v>
      </c>
      <c r="E23" s="82">
        <v>999.99</v>
      </c>
      <c r="F23" s="82">
        <v>3.2070769999999998E-2</v>
      </c>
      <c r="G23" s="82">
        <v>999.99</v>
      </c>
      <c r="H23" s="82">
        <v>3.226706E-2</v>
      </c>
      <c r="I23" s="44">
        <v>12</v>
      </c>
      <c r="J23" s="44">
        <v>0</v>
      </c>
      <c r="K23" s="27">
        <v>3.5937719999999999E-2</v>
      </c>
      <c r="L23" s="82">
        <v>0.67148350000000001</v>
      </c>
      <c r="M23" s="82">
        <v>0.68013999999999997</v>
      </c>
      <c r="N23" s="82">
        <v>999.99</v>
      </c>
      <c r="O23" s="82">
        <v>0.68066979999999999</v>
      </c>
      <c r="P23" s="82">
        <v>999.99</v>
      </c>
      <c r="Q23" s="82">
        <v>0.6509317</v>
      </c>
      <c r="R23" s="44">
        <v>20</v>
      </c>
      <c r="S23" s="87">
        <v>0.6509317</v>
      </c>
      <c r="T23" s="31">
        <f t="shared" si="0"/>
        <v>0.65</v>
      </c>
    </row>
    <row r="24" spans="1:20" x14ac:dyDescent="0.2">
      <c r="A24" s="35">
        <v>23</v>
      </c>
      <c r="B24" s="35" t="s">
        <v>66</v>
      </c>
      <c r="C24" s="82">
        <v>999.99</v>
      </c>
      <c r="D24" s="82">
        <v>3.4602939999999999E-2</v>
      </c>
      <c r="E24" s="82">
        <v>3.3542969999999998E-2</v>
      </c>
      <c r="F24" s="82">
        <v>3.4485139999999997E-2</v>
      </c>
      <c r="G24" s="82">
        <v>3.444589E-2</v>
      </c>
      <c r="H24" s="82">
        <v>999.99</v>
      </c>
      <c r="I24" s="44">
        <v>8</v>
      </c>
      <c r="J24" s="44">
        <v>0</v>
      </c>
      <c r="K24" s="27">
        <v>3.5800289999999999E-2</v>
      </c>
      <c r="L24" s="82">
        <v>999.99</v>
      </c>
      <c r="M24" s="82">
        <v>0.67213120000000004</v>
      </c>
      <c r="N24" s="82">
        <v>0.65947040000000001</v>
      </c>
      <c r="O24" s="82">
        <v>0.71453009999999995</v>
      </c>
      <c r="P24" s="82">
        <v>0.72077210000000003</v>
      </c>
      <c r="Q24" s="82">
        <v>999.99</v>
      </c>
      <c r="R24" s="44">
        <v>4</v>
      </c>
      <c r="S24" s="87">
        <v>0.66</v>
      </c>
      <c r="T24" s="31">
        <f t="shared" si="0"/>
        <v>0.66</v>
      </c>
    </row>
    <row r="25" spans="1:20" x14ac:dyDescent="0.2">
      <c r="A25" s="35">
        <v>24</v>
      </c>
      <c r="B25" s="35" t="s">
        <v>66</v>
      </c>
      <c r="C25" s="82">
        <v>3.3582210000000001E-2</v>
      </c>
      <c r="D25" s="82">
        <v>3.395517E-2</v>
      </c>
      <c r="E25" s="82">
        <v>3.1599670000000003E-2</v>
      </c>
      <c r="F25" s="82">
        <v>999.99</v>
      </c>
      <c r="G25" s="82">
        <v>999.99</v>
      </c>
      <c r="H25" s="82">
        <v>999.99</v>
      </c>
      <c r="I25" s="44">
        <v>4</v>
      </c>
      <c r="J25" s="44">
        <v>0</v>
      </c>
      <c r="K25" s="27">
        <v>3.7056579999999999E-2</v>
      </c>
      <c r="L25" s="82">
        <v>0.70080940000000003</v>
      </c>
      <c r="M25" s="82">
        <v>0.69939609999999997</v>
      </c>
      <c r="N25" s="82">
        <v>0.72854540000000001</v>
      </c>
      <c r="O25" s="82">
        <v>999.99</v>
      </c>
      <c r="P25" s="82">
        <v>999.99</v>
      </c>
      <c r="Q25" s="82">
        <v>999.99</v>
      </c>
      <c r="R25" s="44">
        <v>4</v>
      </c>
      <c r="S25" s="87">
        <v>0.69939609999999997</v>
      </c>
      <c r="T25" s="31">
        <f t="shared" si="0"/>
        <v>0.7</v>
      </c>
    </row>
    <row r="26" spans="1:20" x14ac:dyDescent="0.2">
      <c r="A26" s="35">
        <v>25</v>
      </c>
      <c r="B26" s="35" t="s">
        <v>66</v>
      </c>
      <c r="C26" s="82">
        <v>999.99</v>
      </c>
      <c r="D26" s="82">
        <v>3.474033E-2</v>
      </c>
      <c r="E26" s="82">
        <v>3.3071870000000003E-2</v>
      </c>
      <c r="F26" s="82">
        <v>3.5152559999999999E-2</v>
      </c>
      <c r="G26" s="82">
        <v>999.99</v>
      </c>
      <c r="H26" s="82">
        <v>999.99</v>
      </c>
      <c r="I26" s="44">
        <v>4</v>
      </c>
      <c r="J26" s="44">
        <v>0</v>
      </c>
      <c r="K26" s="27">
        <v>3.5466619999999997E-2</v>
      </c>
      <c r="L26" s="82">
        <v>999.99</v>
      </c>
      <c r="M26" s="82">
        <v>0.70870029999999995</v>
      </c>
      <c r="N26" s="82">
        <v>0.70092719999999997</v>
      </c>
      <c r="O26" s="82">
        <v>0.73060639999999999</v>
      </c>
      <c r="P26" s="82">
        <v>999.99</v>
      </c>
      <c r="Q26" s="82">
        <v>999.99</v>
      </c>
      <c r="R26" s="44">
        <v>8</v>
      </c>
      <c r="S26" s="87">
        <v>0.70092719999999997</v>
      </c>
      <c r="T26" s="31">
        <f t="shared" si="0"/>
        <v>0.7</v>
      </c>
    </row>
    <row r="27" spans="1:20" x14ac:dyDescent="0.2">
      <c r="A27" s="35">
        <v>26</v>
      </c>
      <c r="B27" s="35" t="s">
        <v>66</v>
      </c>
      <c r="C27" s="82">
        <v>3.4759949999999998E-2</v>
      </c>
      <c r="D27" s="82">
        <v>3.3896269999999999E-2</v>
      </c>
      <c r="E27" s="82">
        <v>999.99</v>
      </c>
      <c r="F27" s="82">
        <v>3.2855929999999998E-2</v>
      </c>
      <c r="G27" s="82">
        <v>3.599658E-2</v>
      </c>
      <c r="H27" s="82">
        <v>999.99</v>
      </c>
      <c r="I27" s="44">
        <v>4</v>
      </c>
      <c r="J27" s="44">
        <v>0</v>
      </c>
      <c r="K27" s="27">
        <v>3.6232149999999998E-2</v>
      </c>
      <c r="L27" s="82">
        <v>0.75427920000000004</v>
      </c>
      <c r="M27" s="82">
        <v>0.76729320000000001</v>
      </c>
      <c r="N27" s="82">
        <v>999.99</v>
      </c>
      <c r="O27" s="82">
        <v>0.79815040000000004</v>
      </c>
      <c r="P27" s="82">
        <v>0.80162460000000002</v>
      </c>
      <c r="Q27" s="82">
        <v>999.99</v>
      </c>
      <c r="R27" s="44">
        <v>24</v>
      </c>
      <c r="S27" s="82">
        <v>0.75427920000000004</v>
      </c>
      <c r="T27" s="31">
        <f t="shared" si="0"/>
        <v>0.75</v>
      </c>
    </row>
    <row r="28" spans="1:20" x14ac:dyDescent="0.2">
      <c r="A28" s="35">
        <v>27</v>
      </c>
      <c r="B28" s="35" t="s">
        <v>66</v>
      </c>
      <c r="C28" s="82">
        <v>999.99</v>
      </c>
      <c r="D28" s="82">
        <v>3.6016239999999998E-2</v>
      </c>
      <c r="E28" s="82">
        <v>3.5780670000000001E-2</v>
      </c>
      <c r="F28" s="82">
        <v>3.3935550000000002E-2</v>
      </c>
      <c r="G28" s="82">
        <v>999.99</v>
      </c>
      <c r="H28" s="82">
        <v>3.6722869999999998E-2</v>
      </c>
      <c r="I28" s="44">
        <v>12</v>
      </c>
      <c r="J28" s="44">
        <v>0</v>
      </c>
      <c r="K28" s="27">
        <v>3.6821020000000003E-2</v>
      </c>
      <c r="L28" s="82">
        <v>999.99</v>
      </c>
      <c r="M28" s="82">
        <v>0.77977730000000001</v>
      </c>
      <c r="N28" s="82">
        <v>0.7790707</v>
      </c>
      <c r="O28" s="82">
        <v>0.79343920000000001</v>
      </c>
      <c r="P28" s="82">
        <v>999.99</v>
      </c>
      <c r="Q28" s="82">
        <v>0.78136740000000005</v>
      </c>
      <c r="R28" s="44">
        <v>8</v>
      </c>
      <c r="S28" s="87">
        <v>0.7790707</v>
      </c>
      <c r="T28" s="31">
        <f t="shared" si="0"/>
        <v>0.78</v>
      </c>
    </row>
    <row r="29" spans="1:20" x14ac:dyDescent="0.2">
      <c r="A29" s="35">
        <v>28</v>
      </c>
      <c r="B29" s="35" t="s">
        <v>66</v>
      </c>
      <c r="C29" s="82">
        <v>3.3150359999999997E-2</v>
      </c>
      <c r="D29" s="82">
        <v>999.99</v>
      </c>
      <c r="E29" s="82">
        <v>3.3817750000000001E-2</v>
      </c>
      <c r="F29" s="82">
        <v>3.248297E-2</v>
      </c>
      <c r="G29" s="82">
        <v>999.99</v>
      </c>
      <c r="H29" s="82">
        <v>3.3268159999999998E-2</v>
      </c>
      <c r="I29" s="44">
        <v>0</v>
      </c>
      <c r="J29" s="44">
        <v>0</v>
      </c>
      <c r="K29" s="27">
        <v>3.6291049999999998E-2</v>
      </c>
      <c r="L29" s="82">
        <v>0.80221339999999997</v>
      </c>
      <c r="M29" s="82">
        <v>999.99</v>
      </c>
      <c r="N29" s="82">
        <v>0.8021547</v>
      </c>
      <c r="O29" s="82">
        <v>0.80621779999999998</v>
      </c>
      <c r="P29" s="82">
        <v>999.99</v>
      </c>
      <c r="Q29" s="82">
        <v>0.7973848</v>
      </c>
      <c r="R29" s="44">
        <v>20</v>
      </c>
      <c r="S29" s="87">
        <v>0.7973848</v>
      </c>
      <c r="T29" s="31">
        <f t="shared" si="0"/>
        <v>0.8</v>
      </c>
    </row>
    <row r="30" spans="1:20" x14ac:dyDescent="0.2">
      <c r="A30" s="35">
        <v>29</v>
      </c>
      <c r="B30" s="35" t="s">
        <v>66</v>
      </c>
      <c r="C30" s="82">
        <v>999.99</v>
      </c>
      <c r="D30" s="82">
        <v>999.99</v>
      </c>
      <c r="E30" s="82">
        <v>3.5819950000000003E-2</v>
      </c>
      <c r="F30" s="82">
        <v>3.5191800000000002E-2</v>
      </c>
      <c r="G30" s="82">
        <v>3.5702150000000002E-2</v>
      </c>
      <c r="H30" s="82">
        <v>999.99</v>
      </c>
      <c r="I30" s="44">
        <v>12</v>
      </c>
      <c r="J30" s="44">
        <v>0</v>
      </c>
      <c r="K30" s="27">
        <v>3.5957339999999997E-2</v>
      </c>
      <c r="L30" s="82">
        <v>999.99</v>
      </c>
      <c r="M30" s="82">
        <v>999.99</v>
      </c>
      <c r="N30" s="82">
        <v>0.77636190000000005</v>
      </c>
      <c r="O30" s="82">
        <v>0.78295729999999997</v>
      </c>
      <c r="P30" s="82">
        <v>0.79420480000000004</v>
      </c>
      <c r="Q30" s="82">
        <v>999.99</v>
      </c>
      <c r="R30" s="44">
        <v>12</v>
      </c>
      <c r="S30" s="87">
        <v>0.78</v>
      </c>
      <c r="T30" s="31">
        <f t="shared" si="0"/>
        <v>0.78</v>
      </c>
    </row>
    <row r="31" spans="1:20" x14ac:dyDescent="0.2">
      <c r="A31" s="35">
        <v>30</v>
      </c>
      <c r="B31" s="35" t="s">
        <v>66</v>
      </c>
      <c r="C31" s="82">
        <v>999.99</v>
      </c>
      <c r="D31" s="82">
        <v>999.99</v>
      </c>
      <c r="E31" s="82">
        <v>3.4112219999999999E-2</v>
      </c>
      <c r="F31" s="82">
        <v>3.4563660000000003E-2</v>
      </c>
      <c r="G31" s="82">
        <v>3.4563660000000003E-2</v>
      </c>
      <c r="H31" s="82">
        <v>3.422998E-2</v>
      </c>
      <c r="I31" s="44">
        <v>16</v>
      </c>
      <c r="J31" s="44">
        <v>0</v>
      </c>
      <c r="K31" s="27">
        <v>4.0589819999999999E-2</v>
      </c>
      <c r="L31" s="82">
        <v>999.99</v>
      </c>
      <c r="M31" s="82">
        <v>999.99</v>
      </c>
      <c r="N31" s="82">
        <v>0.77059100000000003</v>
      </c>
      <c r="O31" s="82">
        <v>0.78172059999999999</v>
      </c>
      <c r="P31" s="82">
        <v>0.79173159999999998</v>
      </c>
      <c r="Q31" s="82">
        <v>0.77995409999999998</v>
      </c>
      <c r="R31" s="44">
        <v>8</v>
      </c>
      <c r="S31" s="87">
        <v>0.77059100000000003</v>
      </c>
      <c r="T31" s="31">
        <f t="shared" si="0"/>
        <v>0.77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2021-05-07T16:45:33Z</dcterms:modified>
</cp:coreProperties>
</file>