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80" i="1"/>
  <c r="D80" i="1"/>
  <c r="H80" i="1" s="1"/>
  <c r="G79" i="1"/>
  <c r="D79" i="1"/>
  <c r="H79" i="1" s="1"/>
  <c r="G78" i="1"/>
  <c r="D78" i="1"/>
  <c r="H78" i="1" s="1"/>
  <c r="H75" i="1"/>
  <c r="G75" i="1"/>
  <c r="D75" i="1"/>
  <c r="G73" i="1"/>
  <c r="D73" i="1"/>
  <c r="H73" i="1" s="1"/>
  <c r="G72" i="1"/>
  <c r="D72" i="1"/>
  <c r="H72" i="1" s="1"/>
  <c r="G71" i="1"/>
  <c r="D71" i="1"/>
  <c r="H71" i="1" s="1"/>
  <c r="G70" i="1"/>
  <c r="D70" i="1"/>
  <c r="H70" i="1" s="1"/>
  <c r="H67" i="1"/>
  <c r="G67" i="1"/>
  <c r="D67" i="1"/>
  <c r="G66" i="1"/>
  <c r="D66" i="1"/>
  <c r="H66" i="1" s="1"/>
  <c r="G64" i="1"/>
  <c r="D64" i="1"/>
  <c r="H64" i="1" s="1"/>
  <c r="G63" i="1"/>
  <c r="D63" i="1"/>
  <c r="H63" i="1" s="1"/>
  <c r="G58" i="1"/>
  <c r="D58" i="1"/>
  <c r="H58" i="1" s="1"/>
  <c r="G53" i="1"/>
  <c r="D53" i="1"/>
  <c r="H53" i="1" s="1"/>
  <c r="G52" i="1"/>
  <c r="D52" i="1"/>
  <c r="H52" i="1" s="1"/>
  <c r="G51" i="1"/>
  <c r="D51" i="1"/>
  <c r="H51" i="1" s="1"/>
  <c r="G35" i="1"/>
  <c r="A72" i="1"/>
  <c r="B33" i="1"/>
  <c r="B9" i="1"/>
  <c r="B28" i="1"/>
  <c r="C9" i="1"/>
  <c r="G31" i="1"/>
  <c r="F8" i="1"/>
  <c r="B27" i="1"/>
  <c r="B23" i="1"/>
  <c r="A60" i="1"/>
  <c r="A79" i="1"/>
  <c r="B56" i="1"/>
  <c r="G20" i="1"/>
  <c r="A74" i="1"/>
  <c r="A56" i="1"/>
  <c r="B74" i="1"/>
  <c r="B5" i="1"/>
  <c r="F11" i="1"/>
  <c r="B11" i="1"/>
  <c r="A76" i="1"/>
  <c r="F28" i="1"/>
  <c r="A58" i="1"/>
  <c r="B29" i="1"/>
  <c r="C10" i="1"/>
  <c r="A52" i="1"/>
  <c r="A63" i="1"/>
  <c r="G12" i="1"/>
  <c r="A62" i="1"/>
  <c r="C24" i="1"/>
  <c r="G29" i="1"/>
  <c r="F16" i="1"/>
  <c r="D6" i="1"/>
  <c r="A51" i="1"/>
  <c r="C19" i="1"/>
  <c r="B77" i="1"/>
  <c r="B69" i="1"/>
  <c r="A73" i="1"/>
  <c r="D13" i="1"/>
  <c r="A68" i="1"/>
  <c r="G25" i="1"/>
  <c r="B21" i="1"/>
  <c r="G6" i="1"/>
  <c r="B8" i="1"/>
  <c r="B13" i="1"/>
  <c r="G19" i="1"/>
  <c r="C20" i="1"/>
  <c r="B24" i="1"/>
  <c r="C21" i="1"/>
  <c r="B60" i="1"/>
  <c r="G34" i="1"/>
  <c r="C15" i="1"/>
  <c r="A64" i="1"/>
  <c r="A80" i="1"/>
  <c r="G21" i="1"/>
  <c r="C6" i="1"/>
  <c r="C29" i="1"/>
  <c r="G7" i="1"/>
  <c r="C26" i="1"/>
  <c r="D5" i="1"/>
  <c r="A78" i="1"/>
  <c r="B10" i="1"/>
  <c r="D9" i="1"/>
  <c r="B15" i="1"/>
  <c r="B31" i="1"/>
  <c r="B6" i="1"/>
  <c r="A53" i="1"/>
  <c r="G18" i="1"/>
  <c r="C28" i="1"/>
  <c r="B25" i="1"/>
  <c r="G27" i="1"/>
  <c r="C30" i="1"/>
  <c r="A54" i="1"/>
  <c r="B20" i="1"/>
  <c r="A81" i="1"/>
  <c r="G13" i="1"/>
  <c r="B32" i="1"/>
  <c r="B14" i="1"/>
  <c r="B35" i="1"/>
  <c r="G17" i="1"/>
  <c r="B76" i="1"/>
  <c r="C5" i="1"/>
  <c r="C33" i="1"/>
  <c r="C18" i="1"/>
  <c r="D14" i="1"/>
  <c r="G24" i="1"/>
  <c r="B7" i="1"/>
  <c r="F15" i="1"/>
  <c r="A59" i="1"/>
  <c r="G23" i="1"/>
  <c r="G9" i="1"/>
  <c r="B59" i="1"/>
  <c r="F7" i="1"/>
  <c r="C11" i="1"/>
  <c r="B22" i="1"/>
  <c r="F18" i="1"/>
  <c r="B16" i="1"/>
  <c r="B54" i="1"/>
  <c r="C13" i="1"/>
  <c r="C31" i="1"/>
  <c r="B18" i="1"/>
  <c r="C32" i="1"/>
  <c r="C12" i="1"/>
  <c r="B57" i="1"/>
  <c r="C7" i="1"/>
  <c r="G30" i="1"/>
  <c r="B19" i="1"/>
  <c r="C35" i="1"/>
  <c r="G16" i="1"/>
  <c r="C25" i="1"/>
  <c r="A65" i="1"/>
  <c r="G28" i="1"/>
  <c r="G14" i="1"/>
  <c r="A70" i="1"/>
  <c r="C27" i="1"/>
  <c r="G26" i="1"/>
  <c r="C14" i="1"/>
  <c r="B12" i="1"/>
  <c r="B26" i="1"/>
  <c r="B65" i="1"/>
  <c r="C22" i="1"/>
  <c r="A57" i="1"/>
  <c r="G22" i="1"/>
  <c r="A75" i="1"/>
  <c r="F21" i="1"/>
  <c r="A69" i="1"/>
  <c r="B17" i="1"/>
  <c r="A77" i="1"/>
  <c r="C23" i="1"/>
  <c r="B68" i="1"/>
  <c r="B30" i="1"/>
  <c r="G15" i="1"/>
  <c r="G33" i="1"/>
  <c r="C17" i="1"/>
  <c r="B34" i="1"/>
  <c r="A71" i="1"/>
  <c r="B61" i="1"/>
  <c r="B55" i="1"/>
  <c r="B62" i="1"/>
  <c r="A61" i="1"/>
  <c r="C34" i="1"/>
  <c r="A55" i="1"/>
  <c r="G54" i="1" l="1"/>
  <c r="D54" i="1"/>
  <c r="G59" i="1"/>
  <c r="D59" i="1"/>
  <c r="G65" i="1"/>
  <c r="D65" i="1"/>
  <c r="G69" i="1"/>
  <c r="D69" i="1"/>
  <c r="D81" i="1"/>
  <c r="G81" i="1"/>
  <c r="D56" i="1"/>
  <c r="G56" i="1"/>
  <c r="D61" i="1"/>
  <c r="G61" i="1"/>
  <c r="D76" i="1"/>
  <c r="G76" i="1"/>
  <c r="G55" i="1"/>
  <c r="D55" i="1"/>
  <c r="G60" i="1"/>
  <c r="D60" i="1"/>
  <c r="G74" i="1"/>
  <c r="D74" i="1"/>
  <c r="G57" i="1"/>
  <c r="D57" i="1"/>
  <c r="G62" i="1"/>
  <c r="D62" i="1"/>
  <c r="G68" i="1"/>
  <c r="D68" i="1"/>
  <c r="G77" i="1"/>
  <c r="D77" i="1"/>
  <c r="H77" i="1" l="1"/>
  <c r="H62" i="1"/>
  <c r="H74" i="1"/>
  <c r="H55" i="1"/>
  <c r="H54" i="1"/>
  <c r="H76" i="1"/>
  <c r="H56" i="1"/>
  <c r="H65" i="1"/>
  <c r="H61" i="1"/>
  <c r="H81" i="1"/>
  <c r="H68" i="1"/>
  <c r="H57" i="1"/>
  <c r="H60" i="1"/>
  <c r="H69" i="1"/>
  <c r="H59" i="1"/>
</calcChain>
</file>

<file path=xl/sharedStrings.xml><?xml version="1.0" encoding="utf-8"?>
<sst xmlns="http://schemas.openxmlformats.org/spreadsheetml/2006/main" count="126" uniqueCount="84">
  <si>
    <t>OHA - Drinking Water Program - Surface Water Quality Data Form</t>
  </si>
  <si>
    <t>Actual CT</t>
  </si>
  <si>
    <t>Toledo Water Utilities</t>
  </si>
  <si>
    <t>OFF</t>
  </si>
  <si>
    <t>WTP - :</t>
  </si>
  <si>
    <t>Mar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</si>
  <si>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</si>
  <si>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95% of 4-hour turbidity readings ≤ 0.3 NTU?</t>
  </si>
  <si>
    <t xml:space="preserve">All Cl2 residual at entry point
  ≥ 0.2 mg/l? </t>
  </si>
  <si>
    <t>Month/Year: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</si>
  <si>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</si>
  <si>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</si>
  <si>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Temp</t>
  </si>
  <si>
    <t>Required CT</t>
  </si>
  <si>
    <t>ID#: 41 00899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</si>
  <si>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</si>
  <si>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16 / 12:00</t>
  </si>
  <si>
    <t>DAY</t>
  </si>
  <si>
    <t>[° C]</t>
  </si>
  <si>
    <t>pH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</si>
  <si>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</si>
  <si>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</si>
  <si>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</si>
  <si>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8 PM          [NTU]</t>
  </si>
  <si>
    <t xml:space="preserve">OHA - Drinking Water Services -Turbidity Monitoring Report Form </t>
  </si>
  <si>
    <t>PAGE 2 of 2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</si>
  <si>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</si>
  <si>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</si>
  <si>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</si>
  <si>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12 AM               [NTU]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</si>
  <si>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</si>
  <si>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>Conventional or Direct Filtration</t>
  </si>
  <si>
    <t xml:space="preserve">WTP :  TP - 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</si>
  <si>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</si>
  <si>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>Peak Hourly Demand Flow</t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</si>
  <si>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</si>
  <si>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 xml:space="preserve">Notes:  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</si>
  <si>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</si>
  <si>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Day</t>
  </si>
  <si>
    <t>All 4-hour turbidity readings ≤ 1 NTU?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</si>
  <si>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</si>
  <si>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</si>
  <si>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</si>
  <si>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t>17 / 12:00</t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</si>
  <si>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</si>
  <si>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</si>
  <si>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MONTH</t>
  </si>
  <si>
    <t>CT's met everyday?
 (see back)</t>
  </si>
  <si>
    <t>County:</t>
  </si>
  <si>
    <t>Yes / No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</si>
  <si>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</si>
  <si>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Date / Time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</si>
  <si>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</si>
  <si>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t>8 AM           [NTU]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</si>
  <si>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</si>
  <si>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</si>
  <si>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4 PM                 [NTU]</t>
  </si>
  <si>
    <t>4 AM                 [NTU]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</si>
  <si>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</si>
  <si>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 xml:space="preserve">        PAGE 1 of 2</t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</si>
  <si>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</si>
  <si>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</si>
  <si>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Lincoln</t>
  </si>
  <si>
    <t>NOON            [NTU]</t>
  </si>
  <si>
    <t>Revised September 2016</t>
  </si>
  <si>
    <t xml:space="preserve">Month/Year: </t>
  </si>
  <si>
    <r>
      <t xml:space="preserve">CT Met? </t>
    </r>
    <r>
      <rPr>
        <vertAlign val="superscript"/>
        <sz val="12"/>
        <rFont val="Arial"/>
        <family val="2"/>
      </rPr>
      <t>3</t>
    </r>
  </si>
  <si>
    <t>[ppm or mg/L]</t>
  </si>
  <si>
    <t>[GPM]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</si>
  <si>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</si>
  <si>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Mar_24</t>
  </si>
  <si>
    <t>formula</t>
  </si>
  <si>
    <t>Monthly Summary (Answer Yes or No)</t>
  </si>
  <si>
    <t xml:space="preserve">System Name: </t>
  </si>
  <si>
    <t>C X T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</si>
  <si>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</si>
  <si>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t>A</t>
  </si>
  <si>
    <t xml:space="preserve">Yes </t>
  </si>
  <si>
    <t>Yes</t>
  </si>
  <si>
    <t>PRINTED NAME:Zachary J Dues</t>
  </si>
  <si>
    <t>SIGNATURE:Zachary J Dues</t>
  </si>
  <si>
    <t>PHONE #: (541) 336-2610</t>
  </si>
  <si>
    <t>DATE:04/01/2024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</si>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</sst>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4" fillId="0" borderId="11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7" fillId="5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7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B5" sqref="B5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96" t="s">
        <v>24</v>
      </c>
      <c r="B1" s="96"/>
      <c r="C1" s="96"/>
      <c r="D1" s="96"/>
      <c r="E1" s="96"/>
      <c r="F1" s="96"/>
      <c r="G1" s="96"/>
      <c r="H1" s="5" t="s">
        <v>48</v>
      </c>
      <c r="I1" s="43" t="s">
        <v>62</v>
      </c>
    </row>
    <row r="2" spans="1:9" s="79" customFormat="1" ht="20.25" customHeight="1" x14ac:dyDescent="0.2">
      <c r="A2" s="97" t="s">
        <v>31</v>
      </c>
      <c r="B2" s="97"/>
      <c r="C2" s="97"/>
      <c r="D2" s="97"/>
      <c r="E2" s="97"/>
      <c r="F2" s="97"/>
      <c r="G2" s="97"/>
      <c r="H2" s="16" t="s">
        <v>65</v>
      </c>
      <c r="I2" s="78" t="s">
        <v>70</v>
      </c>
    </row>
    <row r="3" spans="1:9" s="71" customFormat="1" ht="20.100000000000001" customHeight="1" x14ac:dyDescent="0.25">
      <c r="A3" s="14" t="s">
        <v>73</v>
      </c>
      <c r="B3" s="98" t="s">
        <v>2</v>
      </c>
      <c r="C3" s="98"/>
      <c r="D3" s="98"/>
      <c r="E3" s="36" t="s">
        <v>14</v>
      </c>
      <c r="F3" s="99"/>
      <c r="G3" s="100"/>
      <c r="H3" s="22" t="s">
        <v>32</v>
      </c>
      <c r="I3" s="74" t="s">
        <v>76</v>
      </c>
    </row>
    <row r="4" spans="1:9" s="65" customFormat="1" ht="31.5" customHeight="1" thickBot="1" x14ac:dyDescent="0.25">
      <c r="A4" s="35" t="s">
        <v>38</v>
      </c>
      <c r="B4" s="12" t="s">
        <v>29</v>
      </c>
      <c r="C4" s="24" t="s">
        <v>57</v>
      </c>
      <c r="D4" s="92" t="s">
        <v>53</v>
      </c>
      <c r="E4" s="40" t="s">
        <v>63</v>
      </c>
      <c r="F4" s="90" t="s">
        <v>56</v>
      </c>
      <c r="G4" s="44" t="s">
        <v>23</v>
      </c>
      <c r="H4" s="101" t="s">
        <v>69</v>
      </c>
      <c r="I4" s="102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 t="str">
        <f ca="1">IF(ISNA(MATCH(1,DATA_1!A2:A40,0)),"",IF(INDIRECT("DATA_1!E"&amp;(MATCH(1,DATA_1!A2:A40,0))+1)=999.99,"OFF",INDIRECT("DATA_1!E"&amp;(MATCH(1,DATA_1!A2:A40,0))+1)))</f>
        <v>OFF</v>
      </c>
      <c r="E5" s="59">
        <v>0.02</v>
      </c>
      <c r="F5" s="30">
        <v>0.02</v>
      </c>
      <c r="G5" s="64">
        <v>0.02</v>
      </c>
      <c r="H5" s="94">
        <v>0.02</v>
      </c>
      <c r="I5" s="95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 t="str">
        <f ca="1">IF(ISNA(MATCH(2,DATA_1!A2:A40,0)),"",IF(INDIRECT("DATA_1!E"&amp;(MATCH(2,DATA_1!A2:A40,0))+1)=999.99,"OFF",INDIRECT("DATA_1!E"&amp;(MATCH(2,DATA_1!A2:A40,0))+1)))</f>
        <v>OFF</v>
      </c>
      <c r="E6" s="59">
        <v>0.03</v>
      </c>
      <c r="F6" s="30">
        <v>0.03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03">
        <v>0.03</v>
      </c>
      <c r="I6" s="104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v>0.03</v>
      </c>
      <c r="E7" s="59">
        <v>0.03</v>
      </c>
      <c r="F7" s="30" t="str">
        <f ca="1">IF(ISNA(MATCH(3,DATA_1!A2:A40,0)),"",IF(INDIRECT("DATA_1!G"&amp;(MATCH(3,DATA_1!A2:A40,0))+1)=999.99,"OFF",INDIRECT("DATA_1!G"&amp;(MATCH(3,DATA_1!A2:A40,0))+1)))</f>
        <v>OFF</v>
      </c>
      <c r="G7" s="64" t="str">
        <f ca="1">IF(ISNA(MATCH(3,DATA_1!A2:A40,0)),"",IF(INDIRECT("DATA_1!H"&amp;(MATCH(3,DATA_1!A2:A40,0))+1)=999.99,"OFF",INDIRECT("DATA_1!H"&amp;(MATCH(3,DATA_1!A2:A40,0))+1)))</f>
        <v>OFF</v>
      </c>
      <c r="H7" s="103">
        <v>0.03</v>
      </c>
      <c r="I7" s="104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>
        <v>0.03</v>
      </c>
      <c r="D8" s="55">
        <v>0.03</v>
      </c>
      <c r="E8" s="59">
        <v>0.03</v>
      </c>
      <c r="F8" s="30" t="str">
        <f ca="1">IF(ISNA(MATCH(4,DATA_1!A2:A40,0)),"",IF(INDIRECT("DATA_1!G"&amp;(MATCH(4,DATA_1!A2:A40,0))+1)=999.99,"OFF",INDIRECT("DATA_1!G"&amp;(MATCH(4,DATA_1!A2:A40,0))+1)))</f>
        <v>OFF</v>
      </c>
      <c r="G8" s="64">
        <v>0.03</v>
      </c>
      <c r="H8" s="103">
        <v>0.03</v>
      </c>
      <c r="I8" s="104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 t="str">
        <f ca="1">IF(ISNA(MATCH(5,DATA_1!A2:A40,0)),"",IF(INDIRECT("DATA_1!E"&amp;(MATCH(5,DATA_1!A2:A40,0))+1)=999.99,"OFF",INDIRECT("DATA_1!E"&amp;(MATCH(5,DATA_1!A2:A40,0))+1)))</f>
        <v>OFF</v>
      </c>
      <c r="E9" s="59">
        <v>0.02</v>
      </c>
      <c r="F9" s="30">
        <v>0.02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03">
        <v>0.02</v>
      </c>
      <c r="I9" s="104"/>
    </row>
    <row r="10" spans="1:9" ht="22.35" customHeight="1" thickTop="1" thickBot="1" x14ac:dyDescent="0.25">
      <c r="A10" s="58">
        <v>6</v>
      </c>
      <c r="B10" s="83" t="str">
        <f ca="1">IF(ISNA(MATCH(6,DATA_1!A2:A40,0)),"",IF(INDIRECT("DATA_1!C"&amp;(MATCH(6,DATA_1!A2:A40,0))+1)=999.99,"OFF",INDIRECT("DATA_1!C"&amp;(MATCH(6,DATA_1!A2:A40,0))+1)))</f>
        <v>OFF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0.02</v>
      </c>
      <c r="E10" s="59">
        <v>0.02</v>
      </c>
      <c r="F10" s="30">
        <v>0.02</v>
      </c>
      <c r="G10" s="64">
        <v>0.02</v>
      </c>
      <c r="H10" s="103">
        <v>0.02</v>
      </c>
      <c r="I10" s="104"/>
    </row>
    <row r="11" spans="1:9" ht="22.35" customHeight="1" thickTop="1" thickBot="1" x14ac:dyDescent="0.25">
      <c r="A11" s="58">
        <v>7</v>
      </c>
      <c r="B11" s="83" t="str">
        <f ca="1">IF(ISNA(MATCH(7,DATA_1!A2:A40,0)),"",IF(INDIRECT("DATA_1!C"&amp;(MATCH(7,DATA_1!A2:A40,0))+1)=999.99,"OFF",INDIRECT("DATA_1!C"&amp;(MATCH(7,DATA_1!A2:A40,0))+1)))</f>
        <v>OFF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v>0.02</v>
      </c>
      <c r="E11" s="59">
        <v>0.02</v>
      </c>
      <c r="F11" s="30">
        <f ca="1">IF(ISNA(MATCH(7,DATA_1!A2:A40,0)),"",IF(INDIRECT("DATA_1!G"&amp;(MATCH(7,DATA_1!A2:A40,0))+1)=999.99,"OFF",INDIRECT("DATA_1!G"&amp;(MATCH(7,DATA_1!A2:A40,0))+1)))</f>
        <v>3.4681459999999997E-2</v>
      </c>
      <c r="G11" s="64">
        <v>0.02</v>
      </c>
      <c r="H11" s="103">
        <v>0.03</v>
      </c>
      <c r="I11" s="104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0.02</v>
      </c>
      <c r="E12" s="59">
        <v>0.02</v>
      </c>
      <c r="F12" s="30">
        <v>0.02</v>
      </c>
      <c r="G12" s="64" t="str">
        <f ca="1">IF(ISNA(MATCH(8,DATA_1!A2:A40,0)),"",IF(INDIRECT("DATA_1!H"&amp;(MATCH(8,DATA_1!A2:A40,0))+1)=999.99,"OFF",INDIRECT("DATA_1!H"&amp;(MATCH(8,DATA_1!A2:A40,0))+1)))</f>
        <v>OFF</v>
      </c>
      <c r="H12" s="103">
        <v>0.02</v>
      </c>
      <c r="I12" s="104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 t="str">
        <f ca="1">IF(ISNA(MATCH(9,DATA_1!A2:A40,0)),"",IF(INDIRECT("DATA_1!E"&amp;(MATCH(9,DATA_1!A2:A40,0))+1)=999.99,"OFF",INDIRECT("DATA_1!E"&amp;(MATCH(9,DATA_1!A2:A40,0))+1)))</f>
        <v>OFF</v>
      </c>
      <c r="E13" s="59">
        <v>0.02</v>
      </c>
      <c r="F13" s="30">
        <v>0.02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03">
        <v>0.02</v>
      </c>
      <c r="I13" s="104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 t="str">
        <f ca="1">IF(ISNA(MATCH(10,DATA_1!A2:A40,0)),"",IF(INDIRECT("DATA_1!E"&amp;(MATCH(10,DATA_1!A2:A40,0))+1)=999.99,"OFF",INDIRECT("DATA_1!E"&amp;(MATCH(10,DATA_1!A2:A40,0))+1)))</f>
        <v>OFF</v>
      </c>
      <c r="E14" s="59">
        <v>0.02</v>
      </c>
      <c r="F14" s="30">
        <v>0.02</v>
      </c>
      <c r="G14" s="64" t="str">
        <f ca="1">IF(ISNA(MATCH(10,DATA_1!A2:A40,0)),"",IF(INDIRECT("DATA_1!H"&amp;(MATCH(10,DATA_1!A2:A40,0))+1)=999.99,"OFF",INDIRECT("DATA_1!H"&amp;(MATCH(10,DATA_1!A2:A40,0))+1)))</f>
        <v>OFF</v>
      </c>
      <c r="H14" s="103">
        <v>0.02</v>
      </c>
      <c r="I14" s="104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0.02</v>
      </c>
      <c r="E15" s="59">
        <v>0.02</v>
      </c>
      <c r="F15" s="30" t="str">
        <f ca="1">IF(ISNA(MATCH(11,DATA_1!A2:A40,0)),"",IF(INDIRECT("DATA_1!G"&amp;(MATCH(11,DATA_1!A2:A40,0))+1)=999.99,"OFF",INDIRECT("DATA_1!G"&amp;(MATCH(11,DATA_1!A2:A40,0))+1)))</f>
        <v>OFF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03">
        <v>0.02</v>
      </c>
      <c r="I15" s="104"/>
    </row>
    <row r="16" spans="1:9" ht="22.35" customHeight="1" thickTop="1" thickBot="1" x14ac:dyDescent="0.25">
      <c r="A16" s="58">
        <v>12</v>
      </c>
      <c r="B16" s="83" t="str">
        <f ca="1">IF(ISNA(MATCH(12,DATA_1!A2:A40,0)),"",IF(INDIRECT("DATA_1!C"&amp;(MATCH(12,DATA_1!A2:A40,0))+1)=999.99,"OFF",INDIRECT("DATA_1!C"&amp;(MATCH(12,DATA_1!A2:A40,0))+1)))</f>
        <v>OFF</v>
      </c>
      <c r="C16" s="55">
        <v>0.02</v>
      </c>
      <c r="D16" s="55">
        <v>0.02</v>
      </c>
      <c r="E16" s="59">
        <v>0.02</v>
      </c>
      <c r="F16" s="30" t="str">
        <f ca="1">IF(ISNA(MATCH(12,DATA_1!A2:A40,0)),"",IF(INDIRECT("DATA_1!G"&amp;(MATCH(12,DATA_1!A2:A40,0))+1)=999.99,"OFF",INDIRECT("DATA_1!G"&amp;(MATCH(12,DATA_1!A2:A40,0))+1)))</f>
        <v>OFF</v>
      </c>
      <c r="G16" s="64" t="str">
        <f ca="1">IF(ISNA(MATCH(12,DATA_1!A2:A40,0)),"",IF(INDIRECT("DATA_1!H"&amp;(MATCH(12,DATA_1!A2:A40,0))+1)=999.99,"OFF",INDIRECT("DATA_1!H"&amp;(MATCH(12,DATA_1!A2:A40,0))+1)))</f>
        <v>OFF</v>
      </c>
      <c r="H16" s="103">
        <v>0.02</v>
      </c>
      <c r="I16" s="104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v>0.02</v>
      </c>
      <c r="E17" s="59">
        <v>0.02</v>
      </c>
      <c r="F17" s="30">
        <v>0.02</v>
      </c>
      <c r="G17" s="64" t="str">
        <f ca="1">IF(ISNA(MATCH(13,DATA_1!A2:A40,0)),"",IF(INDIRECT("DATA_1!H"&amp;(MATCH(13,DATA_1!A2:A40,0))+1)=999.99,"OFF",INDIRECT("DATA_1!H"&amp;(MATCH(13,DATA_1!A2:A40,0))+1)))</f>
        <v>OFF</v>
      </c>
      <c r="H17" s="103">
        <v>0.02</v>
      </c>
      <c r="I17" s="104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0.02</v>
      </c>
      <c r="F18" s="30" t="str">
        <f ca="1">IF(ISNA(MATCH(14,DATA_1!A2:A40,0)),"",IF(INDIRECT("DATA_1!G"&amp;(MATCH(14,DATA_1!A2:A40,0))+1)=999.99,"OFF",INDIRECT("DATA_1!G"&amp;(MATCH(14,DATA_1!A2:A40,0))+1)))</f>
        <v>OFF</v>
      </c>
      <c r="G18" s="64" t="str">
        <f ca="1">IF(ISNA(MATCH(14,DATA_1!A2:A40,0)),"",IF(INDIRECT("DATA_1!H"&amp;(MATCH(14,DATA_1!A2:A40,0))+1)=999.99,"OFF",INDIRECT("DATA_1!H"&amp;(MATCH(14,DATA_1!A2:A40,0))+1)))</f>
        <v>OFF</v>
      </c>
      <c r="H18" s="103">
        <v>0.02</v>
      </c>
      <c r="I18" s="104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0.02</v>
      </c>
      <c r="E19" s="59">
        <v>0.02</v>
      </c>
      <c r="F19" s="30">
        <v>0.03</v>
      </c>
      <c r="G19" s="64" t="str">
        <f ca="1">IF(ISNA(MATCH(15,DATA_1!A2:A40,0)),"",IF(INDIRECT("DATA_1!H"&amp;(MATCH(15,DATA_1!A2:A40,0))+1)=999.99,"OFF",INDIRECT("DATA_1!H"&amp;(MATCH(15,DATA_1!A2:A40,0))+1)))</f>
        <v>OFF</v>
      </c>
      <c r="H19" s="103">
        <v>0.03</v>
      </c>
      <c r="I19" s="104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 t="s">
        <v>3</v>
      </c>
      <c r="E20" s="59">
        <v>0.03</v>
      </c>
      <c r="F20" s="30">
        <v>0.03</v>
      </c>
      <c r="G20" s="64" t="str">
        <f ca="1">IF(ISNA(MATCH(16,DATA_1!A2:A40,0)),"",IF(INDIRECT("DATA_1!H"&amp;(MATCH(16,DATA_1!A2:A40,0))+1)=999.99,"OFF",INDIRECT("DATA_1!H"&amp;(MATCH(16,DATA_1!A2:A40,0))+1)))</f>
        <v>OFF</v>
      </c>
      <c r="H20" s="103">
        <v>0.03</v>
      </c>
      <c r="I20" s="104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 t="s">
        <v>3</v>
      </c>
      <c r="E21" s="59">
        <v>0.03</v>
      </c>
      <c r="F21" s="30">
        <f ca="1">IF(ISNA(MATCH(17,DATA_1!A2:A40,0)),"",IF(INDIRECT("DATA_1!G"&amp;(MATCH(17,DATA_1!A2:A40,0))+1)=999.99,"OFF",INDIRECT("DATA_1!G"&amp;(MATCH(17,DATA_1!A2:A40,0))+1)))</f>
        <v>3.1246340000000001E-2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03">
        <v>0.03</v>
      </c>
      <c r="I21" s="104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v>0.03</v>
      </c>
      <c r="E22" s="59">
        <v>0.03</v>
      </c>
      <c r="F22" s="30">
        <v>0.03</v>
      </c>
      <c r="G22" s="64" t="str">
        <f ca="1">IF(ISNA(MATCH(18,DATA_1!A2:A40,0)),"",IF(INDIRECT("DATA_1!H"&amp;(MATCH(18,DATA_1!A2:A40,0))+1)=999.99,"OFF",INDIRECT("DATA_1!H"&amp;(MATCH(18,DATA_1!A2:A40,0))+1)))</f>
        <v>OFF</v>
      </c>
      <c r="H22" s="103">
        <v>0.03</v>
      </c>
      <c r="I22" s="104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v>0.03</v>
      </c>
      <c r="E23" s="59">
        <v>0.03</v>
      </c>
      <c r="F23" s="30">
        <v>0.03</v>
      </c>
      <c r="G23" s="64" t="str">
        <f ca="1">IF(ISNA(MATCH(19,DATA_1!A2:A40,0)),"",IF(INDIRECT("DATA_1!H"&amp;(MATCH(19,DATA_1!A2:A40,0))+1)=999.99,"OFF",INDIRECT("DATA_1!H"&amp;(MATCH(19,DATA_1!A2:A40,0))+1)))</f>
        <v>OFF</v>
      </c>
      <c r="H23" s="103">
        <v>0.03</v>
      </c>
      <c r="I23" s="104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>
        <v>0.03</v>
      </c>
      <c r="E24" s="59">
        <v>0.03</v>
      </c>
      <c r="F24" s="30">
        <v>0.03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03">
        <v>0.03</v>
      </c>
      <c r="I24" s="104"/>
    </row>
    <row r="25" spans="1:9" ht="22.35" customHeight="1" thickTop="1" thickBot="1" x14ac:dyDescent="0.25">
      <c r="A25" s="58">
        <v>21</v>
      </c>
      <c r="B25" s="83" t="str">
        <f ca="1">IF(ISNA(MATCH(21,DATA_1!A2:A40,0)),"",IF(INDIRECT("DATA_1!C"&amp;(MATCH(21,DATA_1!A2:A40,0))+1)=999.99,"OFF",INDIRECT("DATA_1!C"&amp;(MATCH(21,DATA_1!A2:A40,0))+1)))</f>
        <v>OFF</v>
      </c>
      <c r="C25" s="55" t="str">
        <f ca="1">IF(ISNA(MATCH(21,DATA_1!A2:A40,0)),"",IF(INDIRECT("DATA_1!D"&amp;(MATCH(21,DATA_1!A2:A40,0))+1)=999.99,"OFF",INDIRECT("DATA_1!D"&amp;(MATCH(21,DATA_1!A2:A40,0))+1)))</f>
        <v>OFF</v>
      </c>
      <c r="D25" s="55">
        <v>0.03</v>
      </c>
      <c r="E25" s="59">
        <v>0.03</v>
      </c>
      <c r="F25" s="30">
        <v>0.03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03">
        <v>0.03</v>
      </c>
      <c r="I25" s="104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>
        <v>0.03</v>
      </c>
      <c r="E26" s="59">
        <v>0.03</v>
      </c>
      <c r="F26" s="30">
        <v>0.03</v>
      </c>
      <c r="G26" s="64" t="str">
        <f ca="1">IF(ISNA(MATCH(22,DATA_1!A2:A40,0)),"",IF(INDIRECT("DATA_1!H"&amp;(MATCH(22,DATA_1!A2:A40,0))+1)=999.99,"OFF",INDIRECT("DATA_1!H"&amp;(MATCH(22,DATA_1!A2:A40,0))+1)))</f>
        <v>OFF</v>
      </c>
      <c r="H26" s="103">
        <v>0.03</v>
      </c>
      <c r="I26" s="104"/>
    </row>
    <row r="27" spans="1:9" ht="22.35" customHeight="1" thickTop="1" thickBot="1" x14ac:dyDescent="0.25">
      <c r="A27" s="58">
        <v>23</v>
      </c>
      <c r="B27" s="83" t="str">
        <f ca="1">IF(ISNA(MATCH(23,DATA_1!A2:A40,0)),"",IF(INDIRECT("DATA_1!C"&amp;(MATCH(23,DATA_1!A2:A40,0))+1)=999.99,"OFF",INDIRECT("DATA_1!C"&amp;(MATCH(23,DATA_1!A2:A40,0))+1)))</f>
        <v>OFF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0.03</v>
      </c>
      <c r="E27" s="59">
        <v>0.04</v>
      </c>
      <c r="F27" s="30">
        <v>0.03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03">
        <v>0.03</v>
      </c>
      <c r="I27" s="104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 t="str">
        <f ca="1">IF(ISNA(MATCH(24,DATA_1!A2:A40,0)),"",IF(INDIRECT("DATA_1!D"&amp;(MATCH(24,DATA_1!A2:A40,0))+1)=999.99,"OFF",INDIRECT("DATA_1!D"&amp;(MATCH(24,DATA_1!A2:A40,0))+1)))</f>
        <v>OFF</v>
      </c>
      <c r="D28" s="55">
        <v>0.03</v>
      </c>
      <c r="E28" s="59">
        <v>0.03</v>
      </c>
      <c r="F28" s="30">
        <f ca="1">IF(ISNA(MATCH(24,DATA_1!A2:A40,0)),"",IF(INDIRECT("DATA_1!G"&amp;(MATCH(24,DATA_1!A2:A40,0))+1)=999.99,"OFF",INDIRECT("DATA_1!G"&amp;(MATCH(24,DATA_1!A2:A40,0))+1)))</f>
        <v>5.8962680000000003E-2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03">
        <v>0.03</v>
      </c>
      <c r="I28" s="104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v>0.03</v>
      </c>
      <c r="E29" s="59">
        <v>0.03</v>
      </c>
      <c r="F29" s="30">
        <v>0.03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03">
        <v>0.03</v>
      </c>
      <c r="I29" s="104"/>
    </row>
    <row r="30" spans="1:9" ht="22.35" customHeight="1" thickTop="1" thickBot="1" x14ac:dyDescent="0.25">
      <c r="A30" s="58">
        <v>26</v>
      </c>
      <c r="B30" s="83" t="str">
        <f ca="1">IF(ISNA(MATCH(26,DATA_1!A2:A40,0)),"",IF(INDIRECT("DATA_1!C"&amp;(MATCH(26,DATA_1!A2:A40,0))+1)=999.99,"OFF",INDIRECT("DATA_1!C"&amp;(MATCH(26,DATA_1!A2:A40,0))+1)))</f>
        <v>OFF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0.03</v>
      </c>
      <c r="E30" s="59">
        <v>0.03</v>
      </c>
      <c r="F30" s="30">
        <v>0.03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03">
        <v>0.03</v>
      </c>
      <c r="I30" s="104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>
        <v>0.03</v>
      </c>
      <c r="E31" s="59">
        <v>0.03</v>
      </c>
      <c r="F31" s="30">
        <v>0.03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03">
        <v>0.03</v>
      </c>
      <c r="I31" s="104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0.03</v>
      </c>
      <c r="E32" s="59" t="s">
        <v>3</v>
      </c>
      <c r="F32" s="30">
        <v>0.03</v>
      </c>
      <c r="G32" s="64">
        <v>0.03</v>
      </c>
      <c r="H32" s="103">
        <v>0.03</v>
      </c>
      <c r="I32" s="104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v>0.03</v>
      </c>
      <c r="E33" s="59">
        <v>0.03</v>
      </c>
      <c r="F33" s="30">
        <v>0.03</v>
      </c>
      <c r="G33" s="64" t="str">
        <f ca="1">IF(ISNA(MATCH(29,DATA_1!A2:A40,0)),"",IF(INDIRECT("DATA_1!H"&amp;(MATCH(29,DATA_1!A2:A40,0))+1)=999.99,"OFF",INDIRECT("DATA_1!H"&amp;(MATCH(29,DATA_1!A2:A40,0))+1)))</f>
        <v>OFF</v>
      </c>
      <c r="H33" s="103">
        <v>0.03</v>
      </c>
      <c r="I33" s="104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v>0.03</v>
      </c>
      <c r="E34" s="59">
        <v>0.03</v>
      </c>
      <c r="F34" s="30">
        <v>0.03</v>
      </c>
      <c r="G34" s="64" t="str">
        <f ca="1">IF(ISNA(MATCH(30,DATA_1!A2:A40,0)),"",IF(INDIRECT("DATA_1!H"&amp;(MATCH(30,DATA_1!A2:A40,0))+1)=999.99,"OFF",INDIRECT("DATA_1!H"&amp;(MATCH(30,DATA_1!A2:A40,0))+1)))</f>
        <v>OFF</v>
      </c>
      <c r="H34" s="103">
        <v>0.03</v>
      </c>
      <c r="I34" s="104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 t="s">
        <v>3</v>
      </c>
      <c r="E35" s="59">
        <v>0.03</v>
      </c>
      <c r="F35" s="30">
        <v>0.03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15">
        <v>0.03</v>
      </c>
      <c r="I35" s="116"/>
    </row>
    <row r="36" spans="1:9" s="65" customFormat="1" ht="20.85" customHeight="1" thickTop="1" thickBot="1" x14ac:dyDescent="0.3">
      <c r="A36" s="117" t="s">
        <v>31</v>
      </c>
      <c r="B36" s="118"/>
      <c r="C36" s="119"/>
      <c r="D36" s="119"/>
      <c r="E36" s="120"/>
      <c r="F36" s="121" t="s">
        <v>72</v>
      </c>
      <c r="G36" s="122"/>
      <c r="H36" s="122"/>
      <c r="I36" s="123"/>
    </row>
    <row r="37" spans="1:9" s="82" customFormat="1" ht="36.950000000000003" customHeight="1" thickTop="1" x14ac:dyDescent="0.2">
      <c r="A37" s="124" t="s">
        <v>7</v>
      </c>
      <c r="B37" s="125"/>
      <c r="C37" s="125"/>
      <c r="D37" s="125"/>
      <c r="E37" s="57" t="s">
        <v>77</v>
      </c>
      <c r="F37" s="126" t="s">
        <v>47</v>
      </c>
      <c r="G37" s="126"/>
      <c r="H37" s="126" t="s">
        <v>8</v>
      </c>
      <c r="I37" s="126"/>
    </row>
    <row r="38" spans="1:9" s="82" customFormat="1" ht="15" x14ac:dyDescent="0.2">
      <c r="A38" s="105" t="s">
        <v>39</v>
      </c>
      <c r="B38" s="106"/>
      <c r="C38" s="106"/>
      <c r="D38" s="106"/>
      <c r="E38" s="25" t="s">
        <v>77</v>
      </c>
      <c r="F38" s="107" t="s">
        <v>77</v>
      </c>
      <c r="G38" s="108"/>
      <c r="H38" s="107" t="s">
        <v>77</v>
      </c>
      <c r="I38" s="111"/>
    </row>
    <row r="39" spans="1:9" s="82" customFormat="1" ht="22.5" customHeight="1" thickBot="1" x14ac:dyDescent="0.25">
      <c r="A39" s="113" t="s">
        <v>10</v>
      </c>
      <c r="B39" s="114"/>
      <c r="C39" s="114"/>
      <c r="D39" s="114"/>
      <c r="E39" s="48" t="s">
        <v>78</v>
      </c>
      <c r="F39" s="109"/>
      <c r="G39" s="110"/>
      <c r="H39" s="109"/>
      <c r="I39" s="112"/>
    </row>
    <row r="40" spans="1:9" s="65" customFormat="1" ht="20.25" customHeight="1" thickTop="1" thickBot="1" x14ac:dyDescent="0.3">
      <c r="A40" s="128" t="s">
        <v>36</v>
      </c>
      <c r="B40" s="129"/>
      <c r="C40" s="129"/>
      <c r="D40" s="129"/>
      <c r="E40" s="130"/>
      <c r="F40" s="135" t="s">
        <v>79</v>
      </c>
      <c r="G40" s="136"/>
      <c r="H40" s="136"/>
      <c r="I40" s="137"/>
    </row>
    <row r="41" spans="1:9" s="65" customFormat="1" ht="20.25" customHeight="1" thickTop="1" thickBot="1" x14ac:dyDescent="0.3">
      <c r="A41" s="128"/>
      <c r="B41" s="131"/>
      <c r="C41" s="131"/>
      <c r="D41" s="131"/>
      <c r="E41" s="130"/>
      <c r="F41" s="135" t="s">
        <v>80</v>
      </c>
      <c r="G41" s="136"/>
      <c r="H41" s="137"/>
      <c r="I41" s="38" t="s">
        <v>82</v>
      </c>
    </row>
    <row r="42" spans="1:9" s="65" customFormat="1" ht="21" customHeight="1" thickTop="1" thickBot="1" x14ac:dyDescent="0.3">
      <c r="A42" s="132"/>
      <c r="B42" s="133"/>
      <c r="C42" s="133"/>
      <c r="D42" s="133"/>
      <c r="E42" s="134"/>
      <c r="F42" s="135" t="s">
        <v>81</v>
      </c>
      <c r="G42" s="136"/>
      <c r="H42" s="137"/>
      <c r="I42" s="38" t="s">
        <v>83</v>
      </c>
    </row>
    <row r="43" spans="1:9" s="23" customFormat="1" ht="14.25" customHeight="1" thickTop="1" x14ac:dyDescent="0.2">
      <c r="A43" s="138" t="s">
        <v>20</v>
      </c>
      <c r="B43" s="138"/>
      <c r="C43" s="138"/>
      <c r="D43" s="138"/>
      <c r="E43" s="138"/>
      <c r="F43" s="138"/>
      <c r="G43" s="138"/>
      <c r="H43" s="138"/>
      <c r="I43" s="138"/>
    </row>
    <row r="44" spans="1:9" s="23" customFormat="1" ht="18.75" customHeight="1" x14ac:dyDescent="0.2">
      <c r="A44" s="139" t="s">
        <v>35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59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0</v>
      </c>
      <c r="B46" s="140"/>
      <c r="C46" s="140"/>
      <c r="D46" s="140"/>
      <c r="E46" s="140"/>
      <c r="F46" s="140"/>
      <c r="G46" s="140"/>
      <c r="H46" s="11" t="s">
        <v>4</v>
      </c>
      <c r="I46" s="26" t="s">
        <v>76</v>
      </c>
    </row>
    <row r="47" spans="1:9" ht="25.5" x14ac:dyDescent="0.2">
      <c r="A47" s="14" t="s">
        <v>73</v>
      </c>
      <c r="B47" s="98" t="s">
        <v>2</v>
      </c>
      <c r="C47" s="98"/>
      <c r="D47" s="8" t="s">
        <v>14</v>
      </c>
      <c r="E47" s="32"/>
      <c r="F47" s="8" t="s">
        <v>9</v>
      </c>
      <c r="G47" s="8" t="s">
        <v>70</v>
      </c>
      <c r="H47" s="50" t="s">
        <v>22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51</v>
      </c>
      <c r="B49" s="85" t="s">
        <v>54</v>
      </c>
      <c r="C49" s="67" t="s">
        <v>58</v>
      </c>
      <c r="D49" s="67" t="s">
        <v>1</v>
      </c>
      <c r="E49" s="67" t="s">
        <v>12</v>
      </c>
      <c r="F49" s="67" t="s">
        <v>19</v>
      </c>
      <c r="G49" s="67" t="s">
        <v>13</v>
      </c>
      <c r="H49" s="67" t="s">
        <v>66</v>
      </c>
      <c r="I49" s="61" t="s">
        <v>34</v>
      </c>
    </row>
    <row r="50" spans="1:9" ht="15.75" thickBot="1" x14ac:dyDescent="0.25">
      <c r="A50" s="87"/>
      <c r="B50" s="39" t="s">
        <v>67</v>
      </c>
      <c r="C50" s="39" t="s">
        <v>40</v>
      </c>
      <c r="D50" s="93" t="s">
        <v>74</v>
      </c>
      <c r="E50" s="39" t="s">
        <v>18</v>
      </c>
      <c r="F50" s="39"/>
      <c r="G50" s="39" t="s">
        <v>71</v>
      </c>
      <c r="H50" s="39" t="s">
        <v>49</v>
      </c>
      <c r="I50" s="69" t="s">
        <v>68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12:00</v>
      </c>
      <c r="B51" s="73">
        <v>0.69</v>
      </c>
      <c r="C51" s="27">
        <v>111</v>
      </c>
      <c r="D51" s="75">
        <f t="shared" ref="D51:D81" si="0">IF(B51="","",B51*C51)</f>
        <v>76.589999999999989</v>
      </c>
      <c r="E51" s="62">
        <v>9.3000000000000007</v>
      </c>
      <c r="F51" s="30">
        <v>7.37</v>
      </c>
      <c r="G51" s="3">
        <f t="shared" ref="G51:G81" si="1">IF(B51="","",IF(E51&lt;12.5,(0.353*$I$47)*(12.006+EXP(2.46-0.073*E51+0.125*B51+0.389*F51)),(0.361*$I$47)*(-2.261+EXP(2.69-0.065*E51+0.111*B51+0.361*F51))))</f>
        <v>22.201494903296808</v>
      </c>
      <c r="H51" s="31" t="str">
        <f t="shared" ref="H51:H81" si="2">IF(D51&gt;G51,"YES","NO")</f>
        <v>YES</v>
      </c>
      <c r="I51" s="89">
        <v>775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12:00</v>
      </c>
      <c r="B52" s="73">
        <v>0.73</v>
      </c>
      <c r="C52" s="70">
        <v>111</v>
      </c>
      <c r="D52" s="6">
        <f t="shared" si="0"/>
        <v>81.03</v>
      </c>
      <c r="E52" s="34">
        <v>9.1</v>
      </c>
      <c r="F52" s="77">
        <v>7.1</v>
      </c>
      <c r="G52" s="3">
        <f t="shared" si="1"/>
        <v>20.55709301841447</v>
      </c>
      <c r="H52" s="47" t="str">
        <f t="shared" si="2"/>
        <v>YES</v>
      </c>
      <c r="I52" s="46">
        <v>792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8:00</v>
      </c>
      <c r="B53" s="73">
        <v>0.78</v>
      </c>
      <c r="C53" s="70">
        <v>111</v>
      </c>
      <c r="D53" s="6">
        <f t="shared" si="0"/>
        <v>86.58</v>
      </c>
      <c r="E53" s="34">
        <v>9.1</v>
      </c>
      <c r="F53" s="77">
        <v>6.99</v>
      </c>
      <c r="G53" s="3">
        <f t="shared" si="1"/>
        <v>19.895527661422264</v>
      </c>
      <c r="H53" s="47" t="str">
        <f t="shared" si="2"/>
        <v>YES</v>
      </c>
      <c r="I53" s="46">
        <v>793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4:00</v>
      </c>
      <c r="B54" s="73">
        <f ca="1">IF(ISNA(MATCH(4,DATA_1!A2:A40,0)),"",INDIRECT("DATA_1!T"&amp;(MATCH(4,DATA_1!A2:A40,0))+1))</f>
        <v>0.82</v>
      </c>
      <c r="C54" s="70">
        <v>111</v>
      </c>
      <c r="D54" s="6">
        <f t="shared" ca="1" si="0"/>
        <v>91.02</v>
      </c>
      <c r="E54" s="34">
        <v>8.8000000000000007</v>
      </c>
      <c r="F54" s="77">
        <v>6.98</v>
      </c>
      <c r="G54" s="3">
        <f t="shared" ca="1" si="1"/>
        <v>20.30930647410835</v>
      </c>
      <c r="H54" s="47" t="str">
        <f t="shared" ca="1" si="2"/>
        <v>YES</v>
      </c>
      <c r="I54" s="46">
        <v>790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f ca="1">IF(ISNA(MATCH(5,DATA_1!A2:A40,0)),"",INDIRECT("DATA_1!T"&amp;(MATCH(5,DATA_1!A2:A40,0))+1))</f>
        <v>0.93</v>
      </c>
      <c r="C55" s="70">
        <v>111</v>
      </c>
      <c r="D55" s="6">
        <f t="shared" ca="1" si="0"/>
        <v>103.23</v>
      </c>
      <c r="E55" s="34">
        <v>8.6999999999999993</v>
      </c>
      <c r="F55" s="77">
        <v>7.18</v>
      </c>
      <c r="G55" s="3">
        <f t="shared" ca="1" si="1"/>
        <v>22.199285956841724</v>
      </c>
      <c r="H55" s="47" t="str">
        <f t="shared" ca="1" si="2"/>
        <v>YES</v>
      </c>
      <c r="I55" s="46">
        <v>827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20:00</v>
      </c>
      <c r="B56" s="73">
        <f ca="1">IF(ISNA(MATCH(6,DATA_1!A2:A40,0)),"",INDIRECT("DATA_1!T"&amp;(MATCH(6,DATA_1!A2:A40,0))+1))</f>
        <v>0.91</v>
      </c>
      <c r="C56" s="27">
        <v>111</v>
      </c>
      <c r="D56" s="6">
        <f t="shared" ca="1" si="0"/>
        <v>101.01</v>
      </c>
      <c r="E56" s="34">
        <v>9.1</v>
      </c>
      <c r="F56" s="77">
        <v>7.39</v>
      </c>
      <c r="G56" s="3">
        <f t="shared" ca="1" si="1"/>
        <v>23.228610111831792</v>
      </c>
      <c r="H56" s="47" t="str">
        <f t="shared" ca="1" si="2"/>
        <v>YES</v>
      </c>
      <c r="I56" s="46">
        <v>824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8:00</v>
      </c>
      <c r="B57" s="73">
        <f ca="1">IF(ISNA(MATCH(7,DATA_1!A2:A40,0)),"",INDIRECT("DATA_1!T"&amp;(MATCH(7,DATA_1!A2:A40,0))+1))</f>
        <v>0.88</v>
      </c>
      <c r="C57" s="70">
        <v>111</v>
      </c>
      <c r="D57" s="6">
        <f t="shared" ca="1" si="0"/>
        <v>97.68</v>
      </c>
      <c r="E57" s="34">
        <v>8.9</v>
      </c>
      <c r="F57" s="77">
        <v>7.58</v>
      </c>
      <c r="G57" s="3">
        <f t="shared" ca="1" si="1"/>
        <v>25.09587246877576</v>
      </c>
      <c r="H57" s="47" t="str">
        <f t="shared" ca="1" si="2"/>
        <v>YES</v>
      </c>
      <c r="I57" s="46">
        <v>798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16:00</v>
      </c>
      <c r="B58" s="73">
        <v>0.87</v>
      </c>
      <c r="C58" s="70">
        <v>111</v>
      </c>
      <c r="D58" s="6">
        <f t="shared" si="0"/>
        <v>96.57</v>
      </c>
      <c r="E58" s="34">
        <v>8.9</v>
      </c>
      <c r="F58" s="77">
        <v>7.76</v>
      </c>
      <c r="G58" s="3">
        <f t="shared" si="1"/>
        <v>26.73158738871307</v>
      </c>
      <c r="H58" s="47" t="str">
        <f t="shared" si="2"/>
        <v>YES</v>
      </c>
      <c r="I58" s="46">
        <v>790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12:00</v>
      </c>
      <c r="B59" s="73">
        <f ca="1">IF(ISNA(MATCH(9,DATA_1!A2:A40,0)),"",INDIRECT("DATA_1!T"&amp;(MATCH(9,DATA_1!A2:A40,0))+1))</f>
        <v>0.83</v>
      </c>
      <c r="C59" s="70">
        <v>111</v>
      </c>
      <c r="D59" s="6">
        <f t="shared" ca="1" si="0"/>
        <v>92.13</v>
      </c>
      <c r="E59" s="34">
        <v>9.1</v>
      </c>
      <c r="F59" s="77">
        <v>7.76</v>
      </c>
      <c r="G59" s="3">
        <f t="shared" ca="1" si="1"/>
        <v>26.253878670681523</v>
      </c>
      <c r="H59" s="47" t="str">
        <f t="shared" ca="1" si="2"/>
        <v>YES</v>
      </c>
      <c r="I59" s="46">
        <v>804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12:00</v>
      </c>
      <c r="B60" s="73">
        <f ca="1">IF(ISNA(MATCH(10,DATA_1!A2:A40,0)),"",INDIRECT("DATA_1!T"&amp;(MATCH(10,DATA_1!A2:A40,0))+1))</f>
        <v>0.82</v>
      </c>
      <c r="C60" s="70">
        <v>111</v>
      </c>
      <c r="D60" s="6">
        <f t="shared" ca="1" si="0"/>
        <v>91.02</v>
      </c>
      <c r="E60" s="34">
        <v>9.1</v>
      </c>
      <c r="F60" s="77">
        <v>7.7</v>
      </c>
      <c r="G60" s="3">
        <f t="shared" ca="1" si="1"/>
        <v>25.667640789377888</v>
      </c>
      <c r="H60" s="47" t="str">
        <f t="shared" ca="1" si="2"/>
        <v>YES</v>
      </c>
      <c r="I60" s="46">
        <v>802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8:00</v>
      </c>
      <c r="B61" s="73">
        <f ca="1">IF(ISNA(MATCH(11,DATA_1!A2:A40,0)),"",INDIRECT("DATA_1!T"&amp;(MATCH(11,DATA_1!A2:A40,0))+1))</f>
        <v>0.8</v>
      </c>
      <c r="C61" s="27">
        <v>111</v>
      </c>
      <c r="D61" s="6">
        <f t="shared" ca="1" si="0"/>
        <v>88.800000000000011</v>
      </c>
      <c r="E61" s="34">
        <v>9.1999999999999993</v>
      </c>
      <c r="F61" s="77">
        <v>7.88</v>
      </c>
      <c r="G61" s="3">
        <f t="shared" ca="1" si="1"/>
        <v>27.129305412281088</v>
      </c>
      <c r="H61" s="47" t="str">
        <f t="shared" ca="1" si="2"/>
        <v>YES</v>
      </c>
      <c r="I61" s="46">
        <v>788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12:00</v>
      </c>
      <c r="B62" s="73">
        <f ca="1">IF(ISNA(MATCH(12,DATA_1!A2:A40,0)),"",INDIRECT("DATA_1!T"&amp;(MATCH(12,DATA_1!A2:A40,0))+1))</f>
        <v>0.83</v>
      </c>
      <c r="C62" s="70">
        <v>111</v>
      </c>
      <c r="D62" s="6">
        <f t="shared" ca="1" si="0"/>
        <v>92.13</v>
      </c>
      <c r="E62" s="34">
        <v>9.1</v>
      </c>
      <c r="F62" s="77">
        <v>7.76</v>
      </c>
      <c r="G62" s="3">
        <f t="shared" ca="1" si="1"/>
        <v>26.253878670681523</v>
      </c>
      <c r="H62" s="47" t="str">
        <f t="shared" ca="1" si="2"/>
        <v>YES</v>
      </c>
      <c r="I62" s="46">
        <v>845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8:00</v>
      </c>
      <c r="B63" s="73">
        <v>0.79</v>
      </c>
      <c r="C63" s="70">
        <v>111</v>
      </c>
      <c r="D63" s="6">
        <f t="shared" si="0"/>
        <v>87.69</v>
      </c>
      <c r="E63" s="34">
        <v>9.1</v>
      </c>
      <c r="F63" s="77">
        <v>7.65</v>
      </c>
      <c r="G63" s="3">
        <f t="shared" si="1"/>
        <v>25.127602359952053</v>
      </c>
      <c r="H63" s="47" t="str">
        <f t="shared" si="2"/>
        <v>YES</v>
      </c>
      <c r="I63" s="46">
        <v>837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v>0.8</v>
      </c>
      <c r="C64" s="70">
        <v>111</v>
      </c>
      <c r="D64" s="6">
        <f t="shared" si="0"/>
        <v>88.800000000000011</v>
      </c>
      <c r="E64" s="34">
        <v>9.3000000000000007</v>
      </c>
      <c r="F64" s="77">
        <v>7.52</v>
      </c>
      <c r="G64" s="3">
        <f t="shared" si="1"/>
        <v>23.70291434291552</v>
      </c>
      <c r="H64" s="47" t="str">
        <f t="shared" si="2"/>
        <v>YES</v>
      </c>
      <c r="I64" s="46">
        <v>874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8:00</v>
      </c>
      <c r="B65" s="73">
        <f ca="1">IF(ISNA(MATCH(15,DATA_1!A2:A40,0)),"",INDIRECT("DATA_1!T"&amp;(MATCH(15,DATA_1!A2:A40,0))+1))</f>
        <v>0.8</v>
      </c>
      <c r="C65" s="70">
        <v>111</v>
      </c>
      <c r="D65" s="6">
        <f t="shared" ca="1" si="0"/>
        <v>88.800000000000011</v>
      </c>
      <c r="E65" s="34">
        <v>9.4</v>
      </c>
      <c r="F65" s="77">
        <v>7.51</v>
      </c>
      <c r="G65" s="3">
        <f t="shared" ca="1" si="1"/>
        <v>23.462737298356778</v>
      </c>
      <c r="H65" s="47" t="str">
        <f t="shared" ca="1" si="2"/>
        <v>YES</v>
      </c>
      <c r="I65" s="46">
        <v>850</v>
      </c>
    </row>
    <row r="66" spans="1:9" ht="24.95" customHeight="1" thickTop="1" thickBot="1" x14ac:dyDescent="0.25">
      <c r="A66" s="20" t="s">
        <v>16</v>
      </c>
      <c r="B66" s="73">
        <v>0.82</v>
      </c>
      <c r="C66" s="27">
        <v>111</v>
      </c>
      <c r="D66" s="6">
        <f t="shared" si="0"/>
        <v>91.02</v>
      </c>
      <c r="E66" s="34">
        <v>9.3000000000000007</v>
      </c>
      <c r="F66" s="77">
        <v>7.48</v>
      </c>
      <c r="G66" s="3">
        <f t="shared" si="1"/>
        <v>23.422861915042265</v>
      </c>
      <c r="H66" s="47" t="str">
        <f t="shared" si="2"/>
        <v>YES</v>
      </c>
      <c r="I66" s="46">
        <v>776</v>
      </c>
    </row>
    <row r="67" spans="1:9" ht="24.95" customHeight="1" thickTop="1" thickBot="1" x14ac:dyDescent="0.25">
      <c r="A67" s="20" t="s">
        <v>43</v>
      </c>
      <c r="B67" s="73">
        <v>0.79</v>
      </c>
      <c r="C67" s="70">
        <v>111</v>
      </c>
      <c r="D67" s="6">
        <f t="shared" si="0"/>
        <v>87.69</v>
      </c>
      <c r="E67" s="34">
        <v>9.6</v>
      </c>
      <c r="F67" s="77">
        <v>7.38</v>
      </c>
      <c r="G67" s="3">
        <f t="shared" si="1"/>
        <v>22.091144974708996</v>
      </c>
      <c r="H67" s="47" t="str">
        <f t="shared" si="2"/>
        <v>YES</v>
      </c>
      <c r="I67" s="46">
        <v>776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12:00</v>
      </c>
      <c r="B68" s="73">
        <f ca="1">IF(ISNA(MATCH(18,DATA_1!A2:A40,0)),"",INDIRECT("DATA_1!T"&amp;(MATCH(18,DATA_1!A2:A40,0))+1))</f>
        <v>0.78</v>
      </c>
      <c r="C68" s="70">
        <v>111</v>
      </c>
      <c r="D68" s="6">
        <f t="shared" ca="1" si="0"/>
        <v>86.58</v>
      </c>
      <c r="E68" s="34">
        <v>9.6</v>
      </c>
      <c r="F68" s="77">
        <v>7.25</v>
      </c>
      <c r="G68" s="3">
        <f t="shared" ca="1" si="1"/>
        <v>21.082549868025382</v>
      </c>
      <c r="H68" s="47" t="str">
        <f t="shared" ca="1" si="2"/>
        <v>YES</v>
      </c>
      <c r="I68" s="46">
        <v>780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8:00</v>
      </c>
      <c r="B69" s="73">
        <f ca="1">IF(ISNA(MATCH(19,DATA_1!A2:A40,0)),"",INDIRECT("DATA_1!T"&amp;(MATCH(19,DATA_1!A2:A40,0))+1))</f>
        <v>0.78</v>
      </c>
      <c r="C69" s="70">
        <v>111</v>
      </c>
      <c r="D69" s="6">
        <f t="shared" ca="1" si="0"/>
        <v>86.58</v>
      </c>
      <c r="E69" s="34">
        <v>9.6999999999999993</v>
      </c>
      <c r="F69" s="77">
        <v>7.37</v>
      </c>
      <c r="G69" s="3">
        <f t="shared" ca="1" si="1"/>
        <v>21.844231213005994</v>
      </c>
      <c r="H69" s="47" t="str">
        <f t="shared" ca="1" si="2"/>
        <v>YES</v>
      </c>
      <c r="I69" s="46">
        <v>819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8:00</v>
      </c>
      <c r="B70" s="76">
        <v>0.8</v>
      </c>
      <c r="C70" s="70">
        <v>111</v>
      </c>
      <c r="D70" s="6">
        <f t="shared" si="0"/>
        <v>88.800000000000011</v>
      </c>
      <c r="E70" s="34">
        <v>9.6</v>
      </c>
      <c r="F70" s="77">
        <v>7.3</v>
      </c>
      <c r="G70" s="3">
        <f t="shared" si="1"/>
        <v>21.503400430398518</v>
      </c>
      <c r="H70" s="47" t="str">
        <f t="shared" si="2"/>
        <v>YES</v>
      </c>
      <c r="I70" s="46">
        <v>853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8:00</v>
      </c>
      <c r="B71" s="76">
        <v>0.79</v>
      </c>
      <c r="C71" s="27">
        <v>111</v>
      </c>
      <c r="D71" s="6">
        <f t="shared" si="0"/>
        <v>87.69</v>
      </c>
      <c r="E71" s="34">
        <v>9.5</v>
      </c>
      <c r="F71" s="77">
        <v>7.26</v>
      </c>
      <c r="G71" s="3">
        <f t="shared" si="1"/>
        <v>21.319929132179908</v>
      </c>
      <c r="H71" s="47" t="str">
        <f t="shared" si="2"/>
        <v>YES</v>
      </c>
      <c r="I71" s="46">
        <v>862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8:00</v>
      </c>
      <c r="B72" s="76">
        <v>0.79</v>
      </c>
      <c r="C72" s="70">
        <v>111</v>
      </c>
      <c r="D72" s="6">
        <f t="shared" si="0"/>
        <v>87.69</v>
      </c>
      <c r="E72" s="34">
        <v>9.5</v>
      </c>
      <c r="F72" s="77">
        <v>7.23</v>
      </c>
      <c r="G72" s="3">
        <f t="shared" si="1"/>
        <v>21.097157379163836</v>
      </c>
      <c r="H72" s="47" t="str">
        <f t="shared" si="2"/>
        <v>YES</v>
      </c>
      <c r="I72" s="46">
        <v>861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8:00</v>
      </c>
      <c r="B73" s="76">
        <v>0.79</v>
      </c>
      <c r="C73" s="70">
        <v>111</v>
      </c>
      <c r="D73" s="6">
        <f t="shared" si="0"/>
        <v>87.69</v>
      </c>
      <c r="E73" s="34">
        <v>9.5</v>
      </c>
      <c r="F73" s="77">
        <v>7.25</v>
      </c>
      <c r="G73" s="3">
        <f t="shared" si="1"/>
        <v>21.245382833919336</v>
      </c>
      <c r="H73" s="47" t="str">
        <f t="shared" si="2"/>
        <v>YES</v>
      </c>
      <c r="I73" s="46">
        <v>778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12:00</v>
      </c>
      <c r="B74" s="76">
        <f ca="1">IF(ISNA(MATCH(24,DATA_1!A2:A40,0)),"",INDIRECT("DATA_1!T"&amp;(MATCH(24,DATA_1!A2:A40,0))+1))</f>
        <v>0.8</v>
      </c>
      <c r="C74" s="70">
        <v>111</v>
      </c>
      <c r="D74" s="6">
        <f t="shared" ca="1" si="0"/>
        <v>88.800000000000011</v>
      </c>
      <c r="E74" s="34">
        <v>9.5</v>
      </c>
      <c r="F74" s="77">
        <v>7.3</v>
      </c>
      <c r="G74" s="3">
        <f t="shared" ca="1" si="1"/>
        <v>21.645423877721253</v>
      </c>
      <c r="H74" s="47" t="str">
        <f t="shared" ca="1" si="2"/>
        <v>YES</v>
      </c>
      <c r="I74" s="46">
        <v>794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8:00</v>
      </c>
      <c r="B75" s="76">
        <v>0.78</v>
      </c>
      <c r="C75" s="70">
        <v>111</v>
      </c>
      <c r="D75" s="6">
        <f t="shared" si="0"/>
        <v>86.58</v>
      </c>
      <c r="E75" s="34">
        <v>9.5</v>
      </c>
      <c r="F75" s="77">
        <v>7.3</v>
      </c>
      <c r="G75" s="3">
        <f t="shared" si="1"/>
        <v>21.596668934599045</v>
      </c>
      <c r="H75" s="47" t="str">
        <f t="shared" si="2"/>
        <v>YES</v>
      </c>
      <c r="I75" s="46">
        <v>752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f ca="1">IF(ISNA(MATCH(26,DATA_1!A2:A40,0)),"",INDIRECT("DATA_1!T"&amp;(MATCH(26,DATA_1!A2:A40,0))+1))</f>
        <v>0.77</v>
      </c>
      <c r="C76" s="27">
        <v>111</v>
      </c>
      <c r="D76" s="6">
        <f t="shared" ca="1" si="0"/>
        <v>85.47</v>
      </c>
      <c r="E76" s="34">
        <v>9.5</v>
      </c>
      <c r="F76" s="77">
        <v>7.28</v>
      </c>
      <c r="G76" s="3">
        <f t="shared" ca="1" si="1"/>
        <v>21.421577842924023</v>
      </c>
      <c r="H76" s="47" t="str">
        <f t="shared" ca="1" si="2"/>
        <v>YES</v>
      </c>
      <c r="I76" s="46">
        <v>752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8:00</v>
      </c>
      <c r="B77" s="76">
        <f ca="1">IF(ISNA(MATCH(27,DATA_1!A2:A40,0)),"",INDIRECT("DATA_1!T"&amp;(MATCH(27,DATA_1!A2:A40,0))+1))</f>
        <v>0.78</v>
      </c>
      <c r="C77" s="70">
        <v>111</v>
      </c>
      <c r="D77" s="6">
        <f t="shared" ca="1" si="0"/>
        <v>86.58</v>
      </c>
      <c r="E77" s="34">
        <v>9.6</v>
      </c>
      <c r="F77" s="77">
        <v>7.35</v>
      </c>
      <c r="G77" s="3">
        <f t="shared" ca="1" si="1"/>
        <v>21.834765402320048</v>
      </c>
      <c r="H77" s="47" t="str">
        <f t="shared" ca="1" si="2"/>
        <v>YES</v>
      </c>
      <c r="I77" s="46">
        <v>792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8:00</v>
      </c>
      <c r="B78" s="76">
        <v>0.77</v>
      </c>
      <c r="C78" s="70">
        <v>111</v>
      </c>
      <c r="D78" s="6">
        <f t="shared" si="0"/>
        <v>85.47</v>
      </c>
      <c r="E78" s="34">
        <v>9.6</v>
      </c>
      <c r="F78" s="77">
        <v>7.32</v>
      </c>
      <c r="G78" s="3">
        <f t="shared" si="1"/>
        <v>21.581676947605139</v>
      </c>
      <c r="H78" s="47" t="str">
        <f t="shared" si="2"/>
        <v>YES</v>
      </c>
      <c r="I78" s="46">
        <v>845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v>0.77</v>
      </c>
      <c r="C79" s="70">
        <v>111</v>
      </c>
      <c r="D79" s="6">
        <f t="shared" si="0"/>
        <v>85.47</v>
      </c>
      <c r="E79" s="34">
        <v>9.6</v>
      </c>
      <c r="F79" s="77">
        <v>7.16</v>
      </c>
      <c r="G79" s="3">
        <f t="shared" si="1"/>
        <v>20.407250848321496</v>
      </c>
      <c r="H79" s="47" t="str">
        <f t="shared" si="2"/>
        <v>YES</v>
      </c>
      <c r="I79" s="46">
        <v>835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8:00</v>
      </c>
      <c r="B80" s="76">
        <v>0.78</v>
      </c>
      <c r="C80" s="70">
        <v>111</v>
      </c>
      <c r="D80" s="6">
        <f t="shared" si="0"/>
        <v>86.58</v>
      </c>
      <c r="E80" s="34">
        <v>9.6999999999999993</v>
      </c>
      <c r="F80" s="77">
        <v>7.12</v>
      </c>
      <c r="G80" s="3">
        <f t="shared" si="1"/>
        <v>20.016282648679713</v>
      </c>
      <c r="H80" s="47" t="str">
        <f t="shared" si="2"/>
        <v>YES</v>
      </c>
      <c r="I80" s="46">
        <v>835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v>0.8</v>
      </c>
      <c r="C81" s="70">
        <v>111</v>
      </c>
      <c r="D81" s="18">
        <f t="shared" si="0"/>
        <v>88.800000000000011</v>
      </c>
      <c r="E81" s="56">
        <v>10</v>
      </c>
      <c r="F81" s="49">
        <v>7.12</v>
      </c>
      <c r="G81" s="18">
        <f t="shared" si="1"/>
        <v>19.67242273557784</v>
      </c>
      <c r="H81" s="19" t="str">
        <f t="shared" si="2"/>
        <v>YES</v>
      </c>
      <c r="I81" s="86">
        <v>835</v>
      </c>
    </row>
    <row r="82" spans="1:9" ht="16.5" thickTop="1" x14ac:dyDescent="0.3">
      <c r="A82" s="21" t="s">
        <v>75</v>
      </c>
      <c r="B82" s="7"/>
      <c r="C82" s="7"/>
      <c r="D82" s="13"/>
      <c r="E82" s="17"/>
      <c r="F82" s="45"/>
      <c r="G82" s="17"/>
      <c r="H82" s="141" t="s">
        <v>64</v>
      </c>
      <c r="I82" s="142"/>
    </row>
    <row r="83" spans="1:9" ht="25.5" customHeight="1" x14ac:dyDescent="0.2">
      <c r="A83" s="143" t="s">
        <v>52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25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T25" sqref="T25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17</v>
      </c>
      <c r="B1" s="51" t="s">
        <v>46</v>
      </c>
      <c r="C1" s="52" t="s">
        <v>21</v>
      </c>
      <c r="D1" s="52" t="s">
        <v>55</v>
      </c>
      <c r="E1" s="52" t="s">
        <v>11</v>
      </c>
      <c r="F1" s="52" t="s">
        <v>60</v>
      </c>
      <c r="G1" s="52" t="s">
        <v>26</v>
      </c>
      <c r="H1" s="52" t="s">
        <v>61</v>
      </c>
      <c r="I1" s="42" t="s">
        <v>27</v>
      </c>
      <c r="J1" s="42" t="s">
        <v>42</v>
      </c>
      <c r="K1" s="1" t="s">
        <v>33</v>
      </c>
      <c r="L1" s="81" t="s">
        <v>41</v>
      </c>
      <c r="M1" s="81" t="s">
        <v>28</v>
      </c>
      <c r="N1" s="81" t="s">
        <v>30</v>
      </c>
      <c r="O1" s="81" t="s">
        <v>44</v>
      </c>
      <c r="P1" s="81" t="s">
        <v>45</v>
      </c>
      <c r="Q1" s="81" t="s">
        <v>15</v>
      </c>
      <c r="R1" s="54" t="s">
        <v>50</v>
      </c>
      <c r="S1" s="80" t="s">
        <v>6</v>
      </c>
      <c r="T1" s="66" t="s">
        <v>37</v>
      </c>
    </row>
    <row r="2" spans="1:20" x14ac:dyDescent="0.2">
      <c r="A2" s="29">
        <v>1</v>
      </c>
      <c r="B2" s="29" t="s">
        <v>5</v>
      </c>
      <c r="C2" s="53">
        <v>999.99</v>
      </c>
      <c r="D2" s="53">
        <v>999.99</v>
      </c>
      <c r="E2" s="53">
        <v>999.99</v>
      </c>
      <c r="F2" s="53">
        <v>5.2583230000000002E-2</v>
      </c>
      <c r="G2" s="53">
        <v>3.6781769999999998E-2</v>
      </c>
      <c r="H2" s="53">
        <v>3.8509130000000003E-2</v>
      </c>
      <c r="I2" s="37">
        <v>12</v>
      </c>
      <c r="J2" s="37">
        <v>0</v>
      </c>
      <c r="K2" s="68">
        <v>5.6234230000000003E-2</v>
      </c>
      <c r="L2" s="53">
        <v>999.99</v>
      </c>
      <c r="M2" s="53">
        <v>999.99</v>
      </c>
      <c r="N2" s="53">
        <v>999.99</v>
      </c>
      <c r="O2" s="53">
        <v>0.69774720000000001</v>
      </c>
      <c r="P2" s="53">
        <v>0.69998490000000002</v>
      </c>
      <c r="Q2" s="53">
        <v>0.72436429999999996</v>
      </c>
      <c r="R2" s="37">
        <v>12</v>
      </c>
      <c r="S2" s="91">
        <v>0.69774720000000001</v>
      </c>
      <c r="T2" s="33">
        <f t="shared" ref="T2:T45" si="0">IF(S2=0,"",ROUND(S2,2))</f>
        <v>0.7</v>
      </c>
    </row>
    <row r="3" spans="1:20" x14ac:dyDescent="0.2">
      <c r="A3" s="29">
        <v>2</v>
      </c>
      <c r="B3" s="29" t="s">
        <v>5</v>
      </c>
      <c r="C3" s="53">
        <v>999.99</v>
      </c>
      <c r="D3" s="53">
        <v>999.99</v>
      </c>
      <c r="E3" s="53">
        <v>999.99</v>
      </c>
      <c r="F3" s="53">
        <v>6.2201510000000002E-2</v>
      </c>
      <c r="G3" s="53">
        <v>5.364319E-2</v>
      </c>
      <c r="H3" s="53">
        <v>999.99</v>
      </c>
      <c r="I3" s="37">
        <v>12</v>
      </c>
      <c r="J3" s="37">
        <v>0</v>
      </c>
      <c r="K3" s="68">
        <v>6.3614809999999994E-2</v>
      </c>
      <c r="L3" s="53">
        <v>999.99</v>
      </c>
      <c r="M3" s="53">
        <v>999.99</v>
      </c>
      <c r="N3" s="53">
        <v>999.99</v>
      </c>
      <c r="O3" s="53">
        <v>0.7190645</v>
      </c>
      <c r="P3" s="53">
        <v>0.76682220000000001</v>
      </c>
      <c r="Q3" s="53">
        <v>999.99</v>
      </c>
      <c r="R3" s="37">
        <v>12</v>
      </c>
      <c r="S3" s="91">
        <v>0.7190645</v>
      </c>
      <c r="T3" s="33">
        <f t="shared" si="0"/>
        <v>0.72</v>
      </c>
    </row>
    <row r="4" spans="1:20" x14ac:dyDescent="0.2">
      <c r="A4" s="29">
        <v>3</v>
      </c>
      <c r="B4" s="29" t="s">
        <v>5</v>
      </c>
      <c r="C4" s="53">
        <v>999.99</v>
      </c>
      <c r="D4" s="53">
        <v>999.99</v>
      </c>
      <c r="E4" s="53">
        <v>0.110764</v>
      </c>
      <c r="F4" s="53">
        <v>6.4910309999999999E-2</v>
      </c>
      <c r="G4" s="53">
        <v>999.99</v>
      </c>
      <c r="H4" s="53">
        <v>999.99</v>
      </c>
      <c r="I4" s="37">
        <v>8</v>
      </c>
      <c r="J4" s="37">
        <v>0</v>
      </c>
      <c r="K4" s="68">
        <v>0.11415980000000001</v>
      </c>
      <c r="L4" s="53">
        <v>999.99</v>
      </c>
      <c r="M4" s="53">
        <v>999.99</v>
      </c>
      <c r="N4" s="53">
        <v>0.78978820000000005</v>
      </c>
      <c r="O4" s="53">
        <v>0.80769000000000002</v>
      </c>
      <c r="P4" s="53">
        <v>999.99</v>
      </c>
      <c r="Q4" s="53">
        <v>999.99</v>
      </c>
      <c r="R4" s="37">
        <v>8</v>
      </c>
      <c r="S4" s="91">
        <v>0.78978820000000005</v>
      </c>
      <c r="T4" s="33">
        <f t="shared" si="0"/>
        <v>0.79</v>
      </c>
    </row>
    <row r="5" spans="1:20" x14ac:dyDescent="0.2">
      <c r="A5" s="29">
        <v>4</v>
      </c>
      <c r="B5" s="29" t="s">
        <v>5</v>
      </c>
      <c r="C5" s="53">
        <v>999.99</v>
      </c>
      <c r="D5" s="53">
        <v>0.10371710000000001</v>
      </c>
      <c r="E5" s="53">
        <v>7.7119629999999995E-2</v>
      </c>
      <c r="F5" s="53">
        <v>7.5627840000000002E-2</v>
      </c>
      <c r="G5" s="53">
        <v>999.99</v>
      </c>
      <c r="H5" s="53">
        <v>7.1682380000000004E-2</v>
      </c>
      <c r="I5" s="37">
        <v>4</v>
      </c>
      <c r="J5" s="37">
        <v>0</v>
      </c>
      <c r="K5" s="68">
        <v>0.1048163</v>
      </c>
      <c r="L5" s="53">
        <v>999.99</v>
      </c>
      <c r="M5" s="53">
        <v>0.81581650000000006</v>
      </c>
      <c r="N5" s="53">
        <v>0.85285679999999997</v>
      </c>
      <c r="O5" s="53">
        <v>0.90432420000000002</v>
      </c>
      <c r="P5" s="53">
        <v>999.99</v>
      </c>
      <c r="Q5" s="53">
        <v>0.94154110000000002</v>
      </c>
      <c r="R5" s="37">
        <v>4</v>
      </c>
      <c r="S5" s="91">
        <v>0.81581650000000006</v>
      </c>
      <c r="T5" s="33">
        <f t="shared" si="0"/>
        <v>0.82</v>
      </c>
    </row>
    <row r="6" spans="1:20" x14ac:dyDescent="0.2">
      <c r="A6" s="29">
        <v>5</v>
      </c>
      <c r="B6" s="29" t="s">
        <v>5</v>
      </c>
      <c r="C6" s="53">
        <v>999.99</v>
      </c>
      <c r="D6" s="53">
        <v>999.99</v>
      </c>
      <c r="E6" s="53">
        <v>999.99</v>
      </c>
      <c r="F6" s="53">
        <v>9.0074870000000001E-2</v>
      </c>
      <c r="G6" s="53">
        <v>6.9523160000000001E-2</v>
      </c>
      <c r="H6" s="53">
        <v>999.99</v>
      </c>
      <c r="I6" s="37">
        <v>12</v>
      </c>
      <c r="J6" s="37">
        <v>0</v>
      </c>
      <c r="K6" s="68">
        <v>9.0074870000000001E-2</v>
      </c>
      <c r="L6" s="53">
        <v>999.99</v>
      </c>
      <c r="M6" s="53">
        <v>999.99</v>
      </c>
      <c r="N6" s="53">
        <v>999.99</v>
      </c>
      <c r="O6" s="53">
        <v>0.93317910000000004</v>
      </c>
      <c r="P6" s="53">
        <v>0.94996199999999997</v>
      </c>
      <c r="Q6" s="53">
        <v>999.99</v>
      </c>
      <c r="R6" s="37">
        <v>8</v>
      </c>
      <c r="S6" s="91">
        <v>0.93317910000000004</v>
      </c>
      <c r="T6" s="33">
        <f t="shared" si="0"/>
        <v>0.93</v>
      </c>
    </row>
    <row r="7" spans="1:20" x14ac:dyDescent="0.2">
      <c r="A7" s="29">
        <v>6</v>
      </c>
      <c r="B7" s="29" t="s">
        <v>5</v>
      </c>
      <c r="C7" s="53">
        <v>999.99</v>
      </c>
      <c r="D7" s="53">
        <v>999.99</v>
      </c>
      <c r="E7" s="53">
        <v>9.2960370000000001E-2</v>
      </c>
      <c r="F7" s="53">
        <v>7.1446809999999999E-2</v>
      </c>
      <c r="G7" s="53">
        <v>4.1100159999999997E-2</v>
      </c>
      <c r="H7" s="53">
        <v>4.0040190000000003E-2</v>
      </c>
      <c r="I7" s="37">
        <v>8</v>
      </c>
      <c r="J7" s="37">
        <v>0</v>
      </c>
      <c r="K7" s="68">
        <v>9.3097750000000007E-2</v>
      </c>
      <c r="L7" s="53">
        <v>999.99</v>
      </c>
      <c r="M7" s="53">
        <v>999.99</v>
      </c>
      <c r="N7" s="53">
        <v>0.92676029999999998</v>
      </c>
      <c r="O7" s="53">
        <v>0.91910510000000001</v>
      </c>
      <c r="P7" s="53">
        <v>0.91963490000000003</v>
      </c>
      <c r="Q7" s="53">
        <v>0.91339289999999995</v>
      </c>
      <c r="R7" s="37">
        <v>20</v>
      </c>
      <c r="S7" s="91">
        <v>0.91339289999999995</v>
      </c>
      <c r="T7" s="33">
        <f t="shared" si="0"/>
        <v>0.91</v>
      </c>
    </row>
    <row r="8" spans="1:20" x14ac:dyDescent="0.2">
      <c r="A8" s="29">
        <v>7</v>
      </c>
      <c r="B8" s="29" t="s">
        <v>5</v>
      </c>
      <c r="C8" s="53">
        <v>999.99</v>
      </c>
      <c r="D8" s="53">
        <v>999.99</v>
      </c>
      <c r="E8" s="53">
        <v>5.6567930000000002E-2</v>
      </c>
      <c r="F8" s="53">
        <v>4.2415319999999999E-2</v>
      </c>
      <c r="G8" s="53">
        <v>3.4681459999999997E-2</v>
      </c>
      <c r="H8" s="53">
        <v>2.847864E-2</v>
      </c>
      <c r="I8" s="37">
        <v>8</v>
      </c>
      <c r="J8" s="37">
        <v>0</v>
      </c>
      <c r="K8" s="68">
        <v>5.9747870000000002E-2</v>
      </c>
      <c r="L8" s="53">
        <v>999.99</v>
      </c>
      <c r="M8" s="53">
        <v>999.99</v>
      </c>
      <c r="N8" s="53">
        <v>0.88124049999999998</v>
      </c>
      <c r="O8" s="53">
        <v>0.8861869</v>
      </c>
      <c r="P8" s="53">
        <v>0.92363930000000005</v>
      </c>
      <c r="Q8" s="53">
        <v>0.92028279999999996</v>
      </c>
      <c r="R8" s="37">
        <v>8</v>
      </c>
      <c r="S8" s="91">
        <v>0.88124049999999998</v>
      </c>
      <c r="T8" s="33">
        <f t="shared" si="0"/>
        <v>0.88</v>
      </c>
    </row>
    <row r="9" spans="1:20" x14ac:dyDescent="0.2">
      <c r="A9" s="29">
        <v>8</v>
      </c>
      <c r="B9" s="29" t="s">
        <v>5</v>
      </c>
      <c r="C9" s="53">
        <v>999.99</v>
      </c>
      <c r="D9" s="53">
        <v>999.99</v>
      </c>
      <c r="E9" s="53">
        <v>4.41427E-2</v>
      </c>
      <c r="F9" s="53">
        <v>4.7361880000000002E-2</v>
      </c>
      <c r="G9" s="53">
        <v>3.277741E-2</v>
      </c>
      <c r="H9" s="53">
        <v>999.99</v>
      </c>
      <c r="I9" s="37">
        <v>12</v>
      </c>
      <c r="J9" s="37">
        <v>0</v>
      </c>
      <c r="K9" s="68">
        <v>4.8892949999999998E-2</v>
      </c>
      <c r="L9" s="53">
        <v>999.99</v>
      </c>
      <c r="M9" s="53">
        <v>999.99</v>
      </c>
      <c r="N9" s="53">
        <v>0.87806050000000002</v>
      </c>
      <c r="O9" s="53">
        <v>0.87617619999999996</v>
      </c>
      <c r="P9" s="53">
        <v>0.86174879999999998</v>
      </c>
      <c r="Q9" s="53">
        <v>999.99</v>
      </c>
      <c r="R9" s="37">
        <v>16</v>
      </c>
      <c r="S9" s="91">
        <v>0.86174879999999998</v>
      </c>
      <c r="T9" s="33">
        <f t="shared" si="0"/>
        <v>0.86</v>
      </c>
    </row>
    <row r="10" spans="1:20" x14ac:dyDescent="0.2">
      <c r="A10" s="29">
        <v>9</v>
      </c>
      <c r="B10" s="29" t="s">
        <v>5</v>
      </c>
      <c r="C10" s="53">
        <v>999.99</v>
      </c>
      <c r="D10" s="53">
        <v>999.99</v>
      </c>
      <c r="E10" s="53">
        <v>999.99</v>
      </c>
      <c r="F10" s="53">
        <v>5.688199E-2</v>
      </c>
      <c r="G10" s="53">
        <v>3.1305239999999998E-2</v>
      </c>
      <c r="H10" s="53">
        <v>999.99</v>
      </c>
      <c r="I10" s="37">
        <v>12</v>
      </c>
      <c r="J10" s="37">
        <v>0</v>
      </c>
      <c r="K10" s="68">
        <v>5.7137180000000003E-2</v>
      </c>
      <c r="L10" s="53">
        <v>999.99</v>
      </c>
      <c r="M10" s="53">
        <v>999.99</v>
      </c>
      <c r="N10" s="53">
        <v>999.99</v>
      </c>
      <c r="O10" s="53">
        <v>0.82623959999999996</v>
      </c>
      <c r="P10" s="53">
        <v>0.83448370000000005</v>
      </c>
      <c r="Q10" s="53">
        <v>999.99</v>
      </c>
      <c r="R10" s="37">
        <v>12</v>
      </c>
      <c r="S10" s="91">
        <v>0.82623959999999996</v>
      </c>
      <c r="T10" s="33">
        <f t="shared" si="0"/>
        <v>0.83</v>
      </c>
    </row>
    <row r="11" spans="1:20" x14ac:dyDescent="0.2">
      <c r="A11" s="29">
        <v>10</v>
      </c>
      <c r="B11" s="29" t="s">
        <v>5</v>
      </c>
      <c r="C11" s="53">
        <v>999.99</v>
      </c>
      <c r="D11" s="53">
        <v>999.99</v>
      </c>
      <c r="E11" s="53">
        <v>999.99</v>
      </c>
      <c r="F11" s="53">
        <v>4.4810089999999997E-2</v>
      </c>
      <c r="G11" s="53">
        <v>2.865531E-2</v>
      </c>
      <c r="H11" s="53">
        <v>999.99</v>
      </c>
      <c r="I11" s="37">
        <v>12</v>
      </c>
      <c r="J11" s="37">
        <v>0</v>
      </c>
      <c r="K11" s="68">
        <v>4.8716280000000001E-2</v>
      </c>
      <c r="L11" s="53">
        <v>999.99</v>
      </c>
      <c r="M11" s="53">
        <v>999.99</v>
      </c>
      <c r="N11" s="53">
        <v>999.99</v>
      </c>
      <c r="O11" s="53">
        <v>0.81516869999999997</v>
      </c>
      <c r="P11" s="53">
        <v>0.8159343</v>
      </c>
      <c r="Q11" s="53">
        <v>999.99</v>
      </c>
      <c r="R11" s="37">
        <v>12</v>
      </c>
      <c r="S11" s="91">
        <v>0.81516869999999997</v>
      </c>
      <c r="T11" s="33">
        <f t="shared" si="0"/>
        <v>0.82</v>
      </c>
    </row>
    <row r="12" spans="1:20" x14ac:dyDescent="0.2">
      <c r="A12" s="29">
        <v>11</v>
      </c>
      <c r="B12" s="29" t="s">
        <v>5</v>
      </c>
      <c r="C12" s="53">
        <v>999.99</v>
      </c>
      <c r="D12" s="53">
        <v>999.99</v>
      </c>
      <c r="E12" s="53">
        <v>6.0513400000000002E-2</v>
      </c>
      <c r="F12" s="53">
        <v>2.661386E-2</v>
      </c>
      <c r="G12" s="53">
        <v>999.99</v>
      </c>
      <c r="H12" s="53">
        <v>999.99</v>
      </c>
      <c r="I12" s="37">
        <v>8</v>
      </c>
      <c r="J12" s="37">
        <v>0</v>
      </c>
      <c r="K12" s="68">
        <v>6.053302E-2</v>
      </c>
      <c r="L12" s="53">
        <v>999.99</v>
      </c>
      <c r="M12" s="53">
        <v>999.99</v>
      </c>
      <c r="N12" s="53">
        <v>0.80415669999999995</v>
      </c>
      <c r="O12" s="53">
        <v>0.82158739999999997</v>
      </c>
      <c r="P12" s="53">
        <v>999.99</v>
      </c>
      <c r="Q12" s="53">
        <v>999.99</v>
      </c>
      <c r="R12" s="37">
        <v>8</v>
      </c>
      <c r="S12" s="91">
        <v>0.80415669999999995</v>
      </c>
      <c r="T12" s="33">
        <f t="shared" si="0"/>
        <v>0.8</v>
      </c>
    </row>
    <row r="13" spans="1:20" x14ac:dyDescent="0.2">
      <c r="A13" s="29">
        <v>12</v>
      </c>
      <c r="B13" s="29" t="s">
        <v>5</v>
      </c>
      <c r="C13" s="53">
        <v>999.99</v>
      </c>
      <c r="D13" s="53">
        <v>4.0099089999999997E-2</v>
      </c>
      <c r="E13" s="53">
        <v>3.523105E-2</v>
      </c>
      <c r="F13" s="53">
        <v>999.99</v>
      </c>
      <c r="G13" s="53">
        <v>999.99</v>
      </c>
      <c r="H13" s="53">
        <v>999.99</v>
      </c>
      <c r="I13" s="37">
        <v>4</v>
      </c>
      <c r="J13" s="37">
        <v>0</v>
      </c>
      <c r="K13" s="68">
        <v>4.1767550000000001E-2</v>
      </c>
      <c r="L13" s="53">
        <v>999.99</v>
      </c>
      <c r="M13" s="53">
        <v>0.81399100000000002</v>
      </c>
      <c r="N13" s="53">
        <v>0.83095059999999998</v>
      </c>
      <c r="O13" s="53">
        <v>999.99</v>
      </c>
      <c r="P13" s="53">
        <v>999.99</v>
      </c>
      <c r="Q13" s="53">
        <v>999.99</v>
      </c>
      <c r="R13" s="37">
        <v>12</v>
      </c>
      <c r="S13" s="91">
        <v>0.83</v>
      </c>
      <c r="T13" s="33">
        <f t="shared" si="0"/>
        <v>0.83</v>
      </c>
    </row>
    <row r="14" spans="1:20" x14ac:dyDescent="0.2">
      <c r="A14" s="29">
        <v>13</v>
      </c>
      <c r="B14" s="29" t="s">
        <v>5</v>
      </c>
      <c r="C14" s="53">
        <v>999.99</v>
      </c>
      <c r="D14" s="53">
        <v>999.99</v>
      </c>
      <c r="E14" s="53">
        <v>3.3660740000000001E-2</v>
      </c>
      <c r="F14" s="53">
        <v>2.9106779999999999E-2</v>
      </c>
      <c r="G14" s="53">
        <v>999.99</v>
      </c>
      <c r="H14" s="53">
        <v>999.99</v>
      </c>
      <c r="I14" s="37">
        <v>8</v>
      </c>
      <c r="J14" s="37">
        <v>0</v>
      </c>
      <c r="K14" s="68">
        <v>3.697806E-2</v>
      </c>
      <c r="L14" s="53">
        <v>999.99</v>
      </c>
      <c r="M14" s="53">
        <v>999.99</v>
      </c>
      <c r="N14" s="53">
        <v>0.80615899999999996</v>
      </c>
      <c r="O14" s="53">
        <v>0.81770089999999995</v>
      </c>
      <c r="P14" s="53">
        <v>999.99</v>
      </c>
      <c r="Q14" s="53">
        <v>999.99</v>
      </c>
      <c r="R14" s="37">
        <v>8</v>
      </c>
      <c r="S14" s="91">
        <v>0.80615899999999996</v>
      </c>
      <c r="T14" s="33">
        <f t="shared" si="0"/>
        <v>0.81</v>
      </c>
    </row>
    <row r="15" spans="1:20" x14ac:dyDescent="0.2">
      <c r="A15" s="29">
        <v>14</v>
      </c>
      <c r="B15" s="29" t="s">
        <v>5</v>
      </c>
      <c r="C15" s="53">
        <v>999.99</v>
      </c>
      <c r="D15" s="53">
        <v>999.99</v>
      </c>
      <c r="E15" s="53">
        <v>4.6223390000000003E-2</v>
      </c>
      <c r="F15" s="53">
        <v>2.9047880000000002E-2</v>
      </c>
      <c r="G15" s="53">
        <v>999.99</v>
      </c>
      <c r="H15" s="53">
        <v>999.99</v>
      </c>
      <c r="I15" s="37">
        <v>8</v>
      </c>
      <c r="J15" s="37">
        <v>0</v>
      </c>
      <c r="K15" s="68">
        <v>4.6282259999999999E-2</v>
      </c>
      <c r="L15" s="53">
        <v>999.99</v>
      </c>
      <c r="M15" s="53">
        <v>999.99</v>
      </c>
      <c r="N15" s="53">
        <v>0.8090444</v>
      </c>
      <c r="O15" s="53">
        <v>0.82270620000000005</v>
      </c>
      <c r="P15" s="53">
        <v>999.99</v>
      </c>
      <c r="Q15" s="53">
        <v>999.99</v>
      </c>
      <c r="R15" s="37">
        <v>8</v>
      </c>
      <c r="S15" s="91">
        <v>0.8090444</v>
      </c>
      <c r="T15" s="33">
        <f t="shared" si="0"/>
        <v>0.81</v>
      </c>
    </row>
    <row r="16" spans="1:20" x14ac:dyDescent="0.2">
      <c r="A16" s="29">
        <v>15</v>
      </c>
      <c r="B16" s="29" t="s">
        <v>5</v>
      </c>
      <c r="C16" s="53">
        <v>999.99</v>
      </c>
      <c r="D16" s="53">
        <v>999.99</v>
      </c>
      <c r="E16" s="53">
        <v>6.1278930000000002E-2</v>
      </c>
      <c r="F16" s="53">
        <v>8.2517649999999998E-2</v>
      </c>
      <c r="G16" s="53">
        <v>2.4376160000000001E-2</v>
      </c>
      <c r="H16" s="53">
        <v>999.99</v>
      </c>
      <c r="I16" s="37">
        <v>12</v>
      </c>
      <c r="J16" s="37">
        <v>0</v>
      </c>
      <c r="K16" s="68">
        <v>8.3577639999999995E-2</v>
      </c>
      <c r="L16" s="53">
        <v>999.99</v>
      </c>
      <c r="M16" s="53">
        <v>999.99</v>
      </c>
      <c r="N16" s="53">
        <v>0.80156579999999999</v>
      </c>
      <c r="O16" s="53">
        <v>0.8035679</v>
      </c>
      <c r="P16" s="53">
        <v>0.83100949999999996</v>
      </c>
      <c r="Q16" s="53">
        <v>999.99</v>
      </c>
      <c r="R16" s="37">
        <v>8</v>
      </c>
      <c r="S16" s="91">
        <v>0.80156579999999999</v>
      </c>
      <c r="T16" s="33">
        <f t="shared" si="0"/>
        <v>0.8</v>
      </c>
    </row>
    <row r="17" spans="1:20" x14ac:dyDescent="0.2">
      <c r="A17" s="29">
        <v>16</v>
      </c>
      <c r="B17" s="29" t="s">
        <v>5</v>
      </c>
      <c r="C17" s="53">
        <v>999.99</v>
      </c>
      <c r="D17" s="53">
        <v>999.99</v>
      </c>
      <c r="E17" s="53">
        <v>6.0847079999999998E-2</v>
      </c>
      <c r="F17" s="53">
        <v>3.5211430000000002E-2</v>
      </c>
      <c r="G17" s="53">
        <v>3.4701080000000002E-2</v>
      </c>
      <c r="H17" s="53">
        <v>999.99</v>
      </c>
      <c r="I17" s="37">
        <v>8</v>
      </c>
      <c r="J17" s="37">
        <v>0</v>
      </c>
      <c r="K17" s="68">
        <v>6.5479549999999997E-2</v>
      </c>
      <c r="L17" s="53">
        <v>999.99</v>
      </c>
      <c r="M17" s="53">
        <v>999.99</v>
      </c>
      <c r="N17" s="53">
        <v>0.80315570000000003</v>
      </c>
      <c r="O17" s="53">
        <v>0.81328440000000002</v>
      </c>
      <c r="P17" s="53">
        <v>0.81634649999999997</v>
      </c>
      <c r="Q17" s="53">
        <v>999.99</v>
      </c>
      <c r="R17" s="37">
        <v>8</v>
      </c>
      <c r="S17" s="91">
        <v>0.80315570000000003</v>
      </c>
      <c r="T17" s="33">
        <f t="shared" si="0"/>
        <v>0.8</v>
      </c>
    </row>
    <row r="18" spans="1:20" x14ac:dyDescent="0.2">
      <c r="A18" s="29">
        <v>17</v>
      </c>
      <c r="B18" s="29" t="s">
        <v>5</v>
      </c>
      <c r="C18" s="53">
        <v>999.99</v>
      </c>
      <c r="D18" s="53">
        <v>999.99</v>
      </c>
      <c r="E18" s="53">
        <v>8.6914580000000005E-2</v>
      </c>
      <c r="F18" s="53">
        <v>3.7782839999999998E-2</v>
      </c>
      <c r="G18" s="53">
        <v>3.1246340000000001E-2</v>
      </c>
      <c r="H18" s="53">
        <v>999.99</v>
      </c>
      <c r="I18" s="37">
        <v>8</v>
      </c>
      <c r="J18" s="37">
        <v>0</v>
      </c>
      <c r="K18" s="68">
        <v>9.1468540000000001E-2</v>
      </c>
      <c r="L18" s="53">
        <v>999.99</v>
      </c>
      <c r="M18" s="53">
        <v>999.99</v>
      </c>
      <c r="N18" s="53">
        <v>0.79815040000000004</v>
      </c>
      <c r="O18" s="53">
        <v>0.80003469999999999</v>
      </c>
      <c r="P18" s="53">
        <v>0.80857319999999999</v>
      </c>
      <c r="Q18" s="53">
        <v>999.99</v>
      </c>
      <c r="R18" s="37">
        <v>8</v>
      </c>
      <c r="S18" s="91">
        <v>0.79815040000000004</v>
      </c>
      <c r="T18" s="33">
        <f t="shared" si="0"/>
        <v>0.8</v>
      </c>
    </row>
    <row r="19" spans="1:20" x14ac:dyDescent="0.2">
      <c r="A19" s="29">
        <v>18</v>
      </c>
      <c r="B19" s="29" t="s">
        <v>5</v>
      </c>
      <c r="C19" s="53">
        <v>999.99</v>
      </c>
      <c r="D19" s="53">
        <v>999.99</v>
      </c>
      <c r="E19" s="53">
        <v>6.031711E-2</v>
      </c>
      <c r="F19" s="53">
        <v>5.1091400000000002E-2</v>
      </c>
      <c r="G19" s="53">
        <v>999.99</v>
      </c>
      <c r="H19" s="53">
        <v>999.99</v>
      </c>
      <c r="I19" s="37">
        <v>8</v>
      </c>
      <c r="J19" s="37">
        <v>0</v>
      </c>
      <c r="K19" s="68">
        <v>6.2810000000000005E-2</v>
      </c>
      <c r="L19" s="53">
        <v>999.99</v>
      </c>
      <c r="M19" s="53">
        <v>999.99</v>
      </c>
      <c r="N19" s="53">
        <v>0.78095510000000001</v>
      </c>
      <c r="O19" s="53">
        <v>0.77748079999999997</v>
      </c>
      <c r="P19" s="53">
        <v>999.99</v>
      </c>
      <c r="Q19" s="53">
        <v>999.99</v>
      </c>
      <c r="R19" s="37">
        <v>12</v>
      </c>
      <c r="S19" s="91">
        <v>0.77748079999999997</v>
      </c>
      <c r="T19" s="33">
        <f t="shared" si="0"/>
        <v>0.78</v>
      </c>
    </row>
    <row r="20" spans="1:20" x14ac:dyDescent="0.2">
      <c r="A20" s="29">
        <v>19</v>
      </c>
      <c r="B20" s="29" t="s">
        <v>5</v>
      </c>
      <c r="C20" s="53">
        <v>999.99</v>
      </c>
      <c r="D20" s="53">
        <v>999.99</v>
      </c>
      <c r="E20" s="53">
        <v>7.0563509999999996E-2</v>
      </c>
      <c r="F20" s="53">
        <v>5.1169920000000001E-2</v>
      </c>
      <c r="G20" s="53">
        <v>3.7920259999999997E-2</v>
      </c>
      <c r="H20" s="53">
        <v>999.99</v>
      </c>
      <c r="I20" s="37">
        <v>8</v>
      </c>
      <c r="J20" s="37">
        <v>0</v>
      </c>
      <c r="K20" s="68">
        <v>7.0563509999999996E-2</v>
      </c>
      <c r="L20" s="53">
        <v>999.99</v>
      </c>
      <c r="M20" s="53">
        <v>999.99</v>
      </c>
      <c r="N20" s="53">
        <v>0.78225060000000002</v>
      </c>
      <c r="O20" s="53">
        <v>0.81104670000000001</v>
      </c>
      <c r="P20" s="53">
        <v>0.81440310000000005</v>
      </c>
      <c r="Q20" s="53">
        <v>999.99</v>
      </c>
      <c r="R20" s="37">
        <v>8</v>
      </c>
      <c r="S20" s="91">
        <v>0.78225060000000002</v>
      </c>
      <c r="T20" s="33">
        <f t="shared" si="0"/>
        <v>0.78</v>
      </c>
    </row>
    <row r="21" spans="1:20" x14ac:dyDescent="0.2">
      <c r="A21" s="29">
        <v>20</v>
      </c>
      <c r="B21" s="29" t="s">
        <v>5</v>
      </c>
      <c r="C21" s="53">
        <v>999.99</v>
      </c>
      <c r="D21" s="53">
        <v>999.99</v>
      </c>
      <c r="E21" s="53">
        <v>5.7137180000000003E-2</v>
      </c>
      <c r="F21" s="53">
        <v>3.994205E-2</v>
      </c>
      <c r="G21" s="53">
        <v>999.99</v>
      </c>
      <c r="H21" s="53">
        <v>999.99</v>
      </c>
      <c r="I21" s="37">
        <v>8</v>
      </c>
      <c r="J21" s="37">
        <v>0</v>
      </c>
      <c r="K21" s="68">
        <v>5.7215700000000001E-2</v>
      </c>
      <c r="L21" s="53">
        <v>999.99</v>
      </c>
      <c r="M21" s="53">
        <v>999.99</v>
      </c>
      <c r="N21" s="53">
        <v>0.80504010000000004</v>
      </c>
      <c r="O21" s="53">
        <v>0.82347179999999998</v>
      </c>
      <c r="P21" s="53">
        <v>999.99</v>
      </c>
      <c r="Q21" s="53">
        <v>999.99</v>
      </c>
      <c r="R21" s="37">
        <v>8</v>
      </c>
      <c r="S21" s="91">
        <v>0.80504010000000004</v>
      </c>
      <c r="T21" s="33">
        <f t="shared" si="0"/>
        <v>0.81</v>
      </c>
    </row>
    <row r="22" spans="1:20" x14ac:dyDescent="0.2">
      <c r="A22" s="29">
        <v>21</v>
      </c>
      <c r="B22" s="29" t="s">
        <v>5</v>
      </c>
      <c r="C22" s="53">
        <v>999.99</v>
      </c>
      <c r="D22" s="53">
        <v>999.99</v>
      </c>
      <c r="E22" s="53">
        <v>7.3056399999999994E-2</v>
      </c>
      <c r="F22" s="53">
        <v>5.9453430000000002E-2</v>
      </c>
      <c r="G22" s="53">
        <v>4.6851499999999997E-2</v>
      </c>
      <c r="H22" s="53">
        <v>999.99</v>
      </c>
      <c r="I22" s="37">
        <v>12</v>
      </c>
      <c r="J22" s="37">
        <v>0</v>
      </c>
      <c r="K22" s="68">
        <v>8.1457669999999996E-2</v>
      </c>
      <c r="L22" s="53">
        <v>999.99</v>
      </c>
      <c r="M22" s="53">
        <v>999.99</v>
      </c>
      <c r="N22" s="53">
        <v>0.8022724</v>
      </c>
      <c r="O22" s="53">
        <v>0.81781859999999995</v>
      </c>
      <c r="P22" s="53">
        <v>0.81187100000000001</v>
      </c>
      <c r="Q22" s="53">
        <v>999.99</v>
      </c>
      <c r="R22" s="37">
        <v>8</v>
      </c>
      <c r="S22" s="91">
        <v>0.8022724</v>
      </c>
      <c r="T22" s="33">
        <f t="shared" si="0"/>
        <v>0.8</v>
      </c>
    </row>
    <row r="23" spans="1:20" x14ac:dyDescent="0.2">
      <c r="A23" s="29">
        <v>22</v>
      </c>
      <c r="B23" s="29" t="s">
        <v>5</v>
      </c>
      <c r="C23" s="53">
        <v>999.99</v>
      </c>
      <c r="D23" s="53">
        <v>999.99</v>
      </c>
      <c r="E23" s="53">
        <v>6.4596260000000003E-2</v>
      </c>
      <c r="F23" s="53">
        <v>5.0188480000000001E-2</v>
      </c>
      <c r="G23" s="53">
        <v>999.99</v>
      </c>
      <c r="H23" s="53">
        <v>999.99</v>
      </c>
      <c r="I23" s="37">
        <v>8</v>
      </c>
      <c r="J23" s="37">
        <v>0</v>
      </c>
      <c r="K23" s="68">
        <v>6.7835060000000003E-2</v>
      </c>
      <c r="L23" s="53">
        <v>999.99</v>
      </c>
      <c r="M23" s="53">
        <v>999.99</v>
      </c>
      <c r="N23" s="53">
        <v>0.79673700000000003</v>
      </c>
      <c r="O23" s="53">
        <v>0.80498130000000001</v>
      </c>
      <c r="P23" s="53">
        <v>999.99</v>
      </c>
      <c r="Q23" s="53">
        <v>999.99</v>
      </c>
      <c r="R23" s="37">
        <v>8</v>
      </c>
      <c r="S23" s="91">
        <v>0.79673700000000003</v>
      </c>
      <c r="T23" s="33">
        <f t="shared" si="0"/>
        <v>0.8</v>
      </c>
    </row>
    <row r="24" spans="1:20" x14ac:dyDescent="0.2">
      <c r="A24" s="29">
        <v>23</v>
      </c>
      <c r="B24" s="29" t="s">
        <v>5</v>
      </c>
      <c r="C24" s="53">
        <v>999.99</v>
      </c>
      <c r="D24" s="53">
        <v>999.99</v>
      </c>
      <c r="E24" s="53">
        <v>8.4951659999999998E-2</v>
      </c>
      <c r="F24" s="53">
        <v>5.2524319999999999E-2</v>
      </c>
      <c r="G24" s="53">
        <v>4.9422920000000002E-2</v>
      </c>
      <c r="H24" s="53">
        <v>999.99</v>
      </c>
      <c r="I24" s="37">
        <v>8</v>
      </c>
      <c r="J24" s="37">
        <v>0</v>
      </c>
      <c r="K24" s="68">
        <v>8.6090150000000004E-2</v>
      </c>
      <c r="L24" s="53">
        <v>999.99</v>
      </c>
      <c r="M24" s="53">
        <v>999.99</v>
      </c>
      <c r="N24" s="53">
        <v>0.78254509999999999</v>
      </c>
      <c r="O24" s="53">
        <v>0.80433339999999998</v>
      </c>
      <c r="P24" s="53">
        <v>0.80845549999999999</v>
      </c>
      <c r="Q24" s="53">
        <v>999.99</v>
      </c>
      <c r="R24" s="37">
        <v>8</v>
      </c>
      <c r="S24" s="91">
        <v>0.78254509999999999</v>
      </c>
      <c r="T24" s="33">
        <f t="shared" si="0"/>
        <v>0.78</v>
      </c>
    </row>
    <row r="25" spans="1:20" x14ac:dyDescent="0.2">
      <c r="A25" s="29">
        <v>24</v>
      </c>
      <c r="B25" s="29" t="s">
        <v>5</v>
      </c>
      <c r="C25" s="53">
        <v>999.99</v>
      </c>
      <c r="D25" s="53">
        <v>999.99</v>
      </c>
      <c r="E25" s="53">
        <v>9.5256960000000002E-2</v>
      </c>
      <c r="F25" s="53">
        <v>7.6550389999999996E-2</v>
      </c>
      <c r="G25" s="53">
        <v>5.8962680000000003E-2</v>
      </c>
      <c r="H25" s="53">
        <v>999.99</v>
      </c>
      <c r="I25" s="37">
        <v>8</v>
      </c>
      <c r="J25" s="37">
        <v>0</v>
      </c>
      <c r="K25" s="68">
        <v>9.5708440000000006E-2</v>
      </c>
      <c r="L25" s="53">
        <v>999.99</v>
      </c>
      <c r="M25" s="53">
        <v>999.99</v>
      </c>
      <c r="N25" s="53">
        <v>0.78384069999999995</v>
      </c>
      <c r="O25" s="53">
        <v>0.79826810000000004</v>
      </c>
      <c r="P25" s="53">
        <v>0.80339119999999997</v>
      </c>
      <c r="Q25" s="53">
        <v>999.99</v>
      </c>
      <c r="R25" s="37">
        <v>12</v>
      </c>
      <c r="S25" s="91">
        <v>0.8</v>
      </c>
      <c r="T25" s="33">
        <f t="shared" si="0"/>
        <v>0.8</v>
      </c>
    </row>
    <row r="26" spans="1:20" x14ac:dyDescent="0.2">
      <c r="A26" s="29">
        <v>25</v>
      </c>
      <c r="B26" s="29" t="s">
        <v>5</v>
      </c>
      <c r="C26" s="53">
        <v>999.99</v>
      </c>
      <c r="D26" s="53">
        <v>999.99</v>
      </c>
      <c r="E26" s="53">
        <v>8.4912420000000002E-2</v>
      </c>
      <c r="F26" s="53">
        <v>6.3536289999999995E-2</v>
      </c>
      <c r="G26" s="53">
        <v>6.4655149999999995E-2</v>
      </c>
      <c r="H26" s="53">
        <v>999.99</v>
      </c>
      <c r="I26" s="37">
        <v>8</v>
      </c>
      <c r="J26" s="37">
        <v>0</v>
      </c>
      <c r="K26" s="68">
        <v>8.6541629999999994E-2</v>
      </c>
      <c r="L26" s="53">
        <v>999.99</v>
      </c>
      <c r="M26" s="53">
        <v>999.99</v>
      </c>
      <c r="N26" s="53">
        <v>0.79349820000000004</v>
      </c>
      <c r="O26" s="53">
        <v>0.80115340000000002</v>
      </c>
      <c r="P26" s="53">
        <v>0.80627669999999996</v>
      </c>
      <c r="Q26" s="53">
        <v>999.99</v>
      </c>
      <c r="R26" s="37">
        <v>8</v>
      </c>
      <c r="S26" s="91">
        <v>0.79349820000000004</v>
      </c>
      <c r="T26" s="33">
        <f t="shared" si="0"/>
        <v>0.79</v>
      </c>
    </row>
    <row r="27" spans="1:20" x14ac:dyDescent="0.2">
      <c r="A27" s="29">
        <v>26</v>
      </c>
      <c r="B27" s="29" t="s">
        <v>5</v>
      </c>
      <c r="C27" s="53">
        <v>999.99</v>
      </c>
      <c r="D27" s="53">
        <v>999.99</v>
      </c>
      <c r="E27" s="53">
        <v>0.100282</v>
      </c>
      <c r="F27" s="53">
        <v>6.8149109999999999E-2</v>
      </c>
      <c r="G27" s="53">
        <v>7.4430449999999995E-2</v>
      </c>
      <c r="H27" s="53">
        <v>999.99</v>
      </c>
      <c r="I27" s="37">
        <v>8</v>
      </c>
      <c r="J27" s="37">
        <v>0</v>
      </c>
      <c r="K27" s="68">
        <v>0.100498</v>
      </c>
      <c r="L27" s="53">
        <v>999.99</v>
      </c>
      <c r="M27" s="53">
        <v>999.99</v>
      </c>
      <c r="N27" s="53">
        <v>0.77276979999999995</v>
      </c>
      <c r="O27" s="53">
        <v>0.7904949</v>
      </c>
      <c r="P27" s="53">
        <v>0.80168349999999999</v>
      </c>
      <c r="Q27" s="53">
        <v>999.99</v>
      </c>
      <c r="R27" s="37">
        <v>8</v>
      </c>
      <c r="S27" s="91">
        <v>0.77276979999999995</v>
      </c>
      <c r="T27" s="33">
        <f t="shared" si="0"/>
        <v>0.77</v>
      </c>
    </row>
    <row r="28" spans="1:20" x14ac:dyDescent="0.2">
      <c r="A28" s="29">
        <v>27</v>
      </c>
      <c r="B28" s="29" t="s">
        <v>5</v>
      </c>
      <c r="C28" s="53">
        <v>999.99</v>
      </c>
      <c r="D28" s="53">
        <v>999.99</v>
      </c>
      <c r="E28" s="53">
        <v>0.1061511</v>
      </c>
      <c r="F28" s="53">
        <v>9.6454349999999994E-2</v>
      </c>
      <c r="G28" s="53">
        <v>7.9906989999999997E-2</v>
      </c>
      <c r="H28" s="53">
        <v>999.99</v>
      </c>
      <c r="I28" s="37">
        <v>8</v>
      </c>
      <c r="J28" s="37">
        <v>0</v>
      </c>
      <c r="K28" s="68">
        <v>0.10852630000000001</v>
      </c>
      <c r="L28" s="53">
        <v>999.99</v>
      </c>
      <c r="M28" s="53">
        <v>999.99</v>
      </c>
      <c r="N28" s="53">
        <v>0.77736300000000003</v>
      </c>
      <c r="O28" s="53">
        <v>0.78590170000000004</v>
      </c>
      <c r="P28" s="53">
        <v>0.79614810000000003</v>
      </c>
      <c r="Q28" s="53">
        <v>999.99</v>
      </c>
      <c r="R28" s="37">
        <v>8</v>
      </c>
      <c r="S28" s="91">
        <v>0.77736300000000003</v>
      </c>
      <c r="T28" s="33">
        <f t="shared" si="0"/>
        <v>0.78</v>
      </c>
    </row>
    <row r="29" spans="1:20" x14ac:dyDescent="0.2">
      <c r="A29" s="29">
        <v>28</v>
      </c>
      <c r="B29" s="29" t="s">
        <v>5</v>
      </c>
      <c r="C29" s="53">
        <v>999.99</v>
      </c>
      <c r="D29" s="53">
        <v>999.99</v>
      </c>
      <c r="E29" s="53">
        <v>0.1050912</v>
      </c>
      <c r="F29" s="53">
        <v>9.203778E-2</v>
      </c>
      <c r="G29" s="53">
        <v>8.7542729999999999E-2</v>
      </c>
      <c r="H29" s="53">
        <v>999.99</v>
      </c>
      <c r="I29" s="37">
        <v>8</v>
      </c>
      <c r="J29" s="37">
        <v>0</v>
      </c>
      <c r="K29" s="68">
        <v>0.1069756</v>
      </c>
      <c r="L29" s="53">
        <v>999.99</v>
      </c>
      <c r="M29" s="53">
        <v>999.99</v>
      </c>
      <c r="N29" s="53">
        <v>0.77712740000000002</v>
      </c>
      <c r="O29" s="53">
        <v>0.77724519999999997</v>
      </c>
      <c r="P29" s="53">
        <v>0.78978820000000005</v>
      </c>
      <c r="Q29" s="53">
        <v>999.99</v>
      </c>
      <c r="R29" s="37">
        <v>8</v>
      </c>
      <c r="S29" s="91">
        <v>0.77712740000000002</v>
      </c>
      <c r="T29" s="33">
        <f t="shared" si="0"/>
        <v>0.78</v>
      </c>
    </row>
    <row r="30" spans="1:20" x14ac:dyDescent="0.2">
      <c r="A30" s="29">
        <v>29</v>
      </c>
      <c r="B30" s="29" t="s">
        <v>5</v>
      </c>
      <c r="C30" s="53">
        <v>999.99</v>
      </c>
      <c r="D30" s="53">
        <v>999.99</v>
      </c>
      <c r="E30" s="53">
        <v>0.12364070000000001</v>
      </c>
      <c r="F30" s="53">
        <v>9.9791299999999999E-2</v>
      </c>
      <c r="G30" s="53">
        <v>999.99</v>
      </c>
      <c r="H30" s="53">
        <v>999.99</v>
      </c>
      <c r="I30" s="37">
        <v>8</v>
      </c>
      <c r="J30" s="37">
        <v>0</v>
      </c>
      <c r="K30" s="68">
        <v>0.123837</v>
      </c>
      <c r="L30" s="53">
        <v>999.99</v>
      </c>
      <c r="M30" s="53">
        <v>999.99</v>
      </c>
      <c r="N30" s="53">
        <v>0.78154400000000002</v>
      </c>
      <c r="O30" s="53">
        <v>0.79985799999999996</v>
      </c>
      <c r="P30" s="53">
        <v>999.99</v>
      </c>
      <c r="Q30" s="53">
        <v>999.99</v>
      </c>
      <c r="R30" s="37">
        <v>8</v>
      </c>
      <c r="S30" s="91">
        <v>0.78154400000000002</v>
      </c>
      <c r="T30" s="33">
        <f t="shared" si="0"/>
        <v>0.78</v>
      </c>
    </row>
    <row r="31" spans="1:20" x14ac:dyDescent="0.2">
      <c r="A31" s="29">
        <v>30</v>
      </c>
      <c r="B31" s="29" t="s">
        <v>5</v>
      </c>
      <c r="C31" s="53">
        <v>999.99</v>
      </c>
      <c r="D31" s="53">
        <v>999.99</v>
      </c>
      <c r="E31" s="53">
        <v>0.15053259999999999</v>
      </c>
      <c r="F31" s="53">
        <v>0.13414229999999999</v>
      </c>
      <c r="G31" s="53">
        <v>0.1154946</v>
      </c>
      <c r="H31" s="53">
        <v>999.99</v>
      </c>
      <c r="I31" s="37">
        <v>8</v>
      </c>
      <c r="J31" s="37">
        <v>0</v>
      </c>
      <c r="K31" s="68">
        <v>0.1527703</v>
      </c>
      <c r="L31" s="53">
        <v>999.99</v>
      </c>
      <c r="M31" s="53">
        <v>999.99</v>
      </c>
      <c r="N31" s="53">
        <v>0.79379259999999996</v>
      </c>
      <c r="O31" s="53">
        <v>0.81028109999999998</v>
      </c>
      <c r="P31" s="53">
        <v>0.8229419</v>
      </c>
      <c r="Q31" s="53">
        <v>999.99</v>
      </c>
      <c r="R31" s="37">
        <v>8</v>
      </c>
      <c r="S31" s="91">
        <v>0.79379259999999996</v>
      </c>
      <c r="T31" s="33">
        <f t="shared" si="0"/>
        <v>0.79</v>
      </c>
    </row>
    <row r="32" spans="1:20" x14ac:dyDescent="0.2">
      <c r="A32" s="29">
        <v>31</v>
      </c>
      <c r="B32" s="29" t="s">
        <v>5</v>
      </c>
      <c r="C32" s="53">
        <v>999.99</v>
      </c>
      <c r="D32" s="53">
        <v>999.99</v>
      </c>
      <c r="E32" s="53">
        <v>0.17601120000000001</v>
      </c>
      <c r="F32" s="53">
        <v>0.1631542</v>
      </c>
      <c r="G32" s="53">
        <v>0.12267889999999999</v>
      </c>
      <c r="H32" s="53">
        <v>999.99</v>
      </c>
      <c r="I32" s="37">
        <v>8</v>
      </c>
      <c r="J32" s="37">
        <v>0</v>
      </c>
      <c r="K32" s="68">
        <v>0.1765805</v>
      </c>
      <c r="L32" s="53">
        <v>999.99</v>
      </c>
      <c r="M32" s="53">
        <v>999.99</v>
      </c>
      <c r="N32" s="53">
        <v>0.78278060000000005</v>
      </c>
      <c r="O32" s="53">
        <v>0.81469760000000002</v>
      </c>
      <c r="P32" s="53">
        <v>0.83242269999999996</v>
      </c>
      <c r="Q32" s="53">
        <v>999.99</v>
      </c>
      <c r="R32" s="37">
        <v>8</v>
      </c>
      <c r="S32" s="91">
        <v>0.78278060000000005</v>
      </c>
      <c r="T32" s="33">
        <f t="shared" si="0"/>
        <v>0.78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2024-04-01T16:44:30Z</dcterms:modified>
</cp:coreProperties>
</file>