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G78" i="1"/>
  <c r="D78" i="1"/>
  <c r="H78" i="1" s="1"/>
  <c r="H66" i="1"/>
  <c r="G66" i="1"/>
  <c r="D66" i="1"/>
  <c r="G65" i="1"/>
  <c r="D65" i="1"/>
  <c r="H65" i="1" s="1"/>
  <c r="H63" i="1"/>
  <c r="G63" i="1"/>
  <c r="D63" i="1"/>
  <c r="G61" i="1"/>
  <c r="D61" i="1"/>
  <c r="H61" i="1" s="1"/>
  <c r="A81" i="1"/>
  <c r="G33" i="1"/>
  <c r="G16" i="1"/>
  <c r="G30" i="1"/>
  <c r="A63" i="1"/>
  <c r="G23" i="1"/>
  <c r="G5" i="1"/>
  <c r="A77" i="1"/>
  <c r="F30" i="1"/>
  <c r="G13" i="1"/>
  <c r="G29" i="1"/>
  <c r="B27" i="1"/>
  <c r="E34" i="1"/>
  <c r="A60" i="1"/>
  <c r="E23" i="1"/>
  <c r="B54" i="1"/>
  <c r="G19" i="1"/>
  <c r="B56" i="1"/>
  <c r="B70" i="1"/>
  <c r="G26" i="1"/>
  <c r="C9" i="1"/>
  <c r="D5" i="1"/>
  <c r="B34" i="1"/>
  <c r="B17" i="1"/>
  <c r="A53" i="1"/>
  <c r="F31" i="1"/>
  <c r="A67" i="1"/>
  <c r="A73" i="1"/>
  <c r="B9" i="1"/>
  <c r="B58" i="1"/>
  <c r="B22" i="1"/>
  <c r="B69" i="1"/>
  <c r="B74" i="1"/>
  <c r="B29" i="1"/>
  <c r="D12" i="1"/>
  <c r="B14" i="1"/>
  <c r="B51" i="1"/>
  <c r="C19" i="1"/>
  <c r="A62" i="1"/>
  <c r="C23" i="1"/>
  <c r="F25" i="1"/>
  <c r="A52" i="1"/>
  <c r="A72" i="1"/>
  <c r="C29" i="1"/>
  <c r="E12" i="1"/>
  <c r="E18" i="1"/>
  <c r="A54" i="1"/>
  <c r="F19" i="1"/>
  <c r="C35" i="1"/>
  <c r="A69" i="1"/>
  <c r="C26" i="1"/>
  <c r="G8" i="1"/>
  <c r="C17" i="1"/>
  <c r="D14" i="1"/>
  <c r="E17" i="1"/>
  <c r="D28" i="1"/>
  <c r="B80" i="1"/>
  <c r="E32" i="1"/>
  <c r="D15" i="1"/>
  <c r="G27" i="1"/>
  <c r="B62" i="1"/>
  <c r="G22" i="1"/>
  <c r="A78" i="1"/>
  <c r="B76" i="1"/>
  <c r="F29" i="1"/>
  <c r="G12" i="1"/>
  <c r="F26" i="1"/>
  <c r="G18" i="1"/>
  <c r="D30" i="1"/>
  <c r="B33" i="1"/>
  <c r="A76" i="1"/>
  <c r="G34" i="1"/>
  <c r="B18" i="1"/>
  <c r="C34" i="1"/>
  <c r="A64" i="1"/>
  <c r="F24" i="1"/>
  <c r="C7" i="1"/>
  <c r="B81" i="1"/>
  <c r="G31" i="1"/>
  <c r="G14" i="1"/>
  <c r="C33" i="1"/>
  <c r="B52" i="1"/>
  <c r="C13" i="1"/>
  <c r="C24" i="1"/>
  <c r="A65" i="1"/>
  <c r="G24" i="1"/>
  <c r="G7" i="1"/>
  <c r="A80" i="1"/>
  <c r="D32" i="1"/>
  <c r="C15" i="1"/>
  <c r="F22" i="1"/>
  <c r="A56" i="1"/>
  <c r="C22" i="1"/>
  <c r="B5" i="1"/>
  <c r="A59" i="1"/>
  <c r="A74" i="1"/>
  <c r="E8" i="1"/>
  <c r="D20" i="1"/>
  <c r="B71" i="1"/>
  <c r="C28" i="1"/>
  <c r="F11" i="1"/>
  <c r="B15" i="1"/>
  <c r="B53" i="1"/>
  <c r="F18" i="1"/>
  <c r="B32" i="1"/>
  <c r="B68" i="1"/>
  <c r="C25" i="1"/>
  <c r="B8" i="1"/>
  <c r="B13" i="1"/>
  <c r="B10" i="1"/>
  <c r="G21" i="1"/>
  <c r="G15" i="1"/>
  <c r="B75" i="1"/>
  <c r="E30" i="1"/>
  <c r="E13" i="1"/>
  <c r="F21" i="1"/>
  <c r="B57" i="1"/>
  <c r="G20" i="1"/>
  <c r="A57" i="1"/>
  <c r="B72" i="1"/>
  <c r="C27" i="1"/>
  <c r="C10" i="1"/>
  <c r="F20" i="1"/>
  <c r="B12" i="1"/>
  <c r="B73" i="1"/>
  <c r="G11" i="1"/>
  <c r="A55" i="1"/>
  <c r="B21" i="1"/>
  <c r="B11" i="1"/>
  <c r="B60" i="1"/>
  <c r="C6" i="1"/>
  <c r="B79" i="1"/>
  <c r="B55" i="1"/>
  <c r="E24" i="1"/>
  <c r="G25" i="1"/>
  <c r="C16" i="1"/>
  <c r="C5" i="1"/>
  <c r="G35" i="1"/>
  <c r="A61" i="1"/>
  <c r="G10" i="1"/>
  <c r="A51" i="1"/>
  <c r="B64" i="1"/>
  <c r="C31" i="1"/>
  <c r="D21" i="1"/>
  <c r="G28" i="1"/>
  <c r="F8" i="1"/>
  <c r="E25" i="1"/>
  <c r="B7" i="1"/>
  <c r="A71" i="1"/>
  <c r="B35" i="1"/>
  <c r="A75" i="1"/>
  <c r="B24" i="1"/>
  <c r="C14" i="1"/>
  <c r="B77" i="1"/>
  <c r="A70" i="1"/>
  <c r="C8" i="1"/>
  <c r="B59" i="1"/>
  <c r="A58" i="1"/>
  <c r="B28" i="1"/>
  <c r="C18" i="1"/>
  <c r="B16" i="1"/>
  <c r="B6" i="1"/>
  <c r="D19" i="1"/>
  <c r="A68" i="1"/>
  <c r="B67" i="1"/>
  <c r="D33" i="1"/>
  <c r="D23" i="1"/>
  <c r="A79" i="1"/>
  <c r="G67" i="1" l="1"/>
  <c r="D67" i="1"/>
  <c r="D59" i="1"/>
  <c r="H59" i="1" s="1"/>
  <c r="G59" i="1"/>
  <c r="G77" i="1"/>
  <c r="D77" i="1"/>
  <c r="G64" i="1"/>
  <c r="D64" i="1"/>
  <c r="G55" i="1"/>
  <c r="D55" i="1"/>
  <c r="D79" i="1"/>
  <c r="H79" i="1" s="1"/>
  <c r="G79" i="1"/>
  <c r="D60" i="1"/>
  <c r="G60" i="1"/>
  <c r="G73" i="1"/>
  <c r="D73" i="1"/>
  <c r="D72" i="1"/>
  <c r="G72" i="1"/>
  <c r="D57" i="1"/>
  <c r="H57" i="1" s="1"/>
  <c r="G57" i="1"/>
  <c r="D75" i="1"/>
  <c r="G75" i="1"/>
  <c r="G68" i="1"/>
  <c r="D68" i="1"/>
  <c r="G53" i="1"/>
  <c r="D53" i="1"/>
  <c r="H53" i="1" s="1"/>
  <c r="D71" i="1"/>
  <c r="H71" i="1" s="1"/>
  <c r="G71" i="1"/>
  <c r="D52" i="1"/>
  <c r="G52" i="1"/>
  <c r="D81" i="1"/>
  <c r="H81" i="1" s="1"/>
  <c r="G81" i="1"/>
  <c r="D76" i="1"/>
  <c r="G76" i="1"/>
  <c r="G62" i="1"/>
  <c r="D62" i="1"/>
  <c r="G80" i="1"/>
  <c r="D80" i="1"/>
  <c r="H80" i="1" s="1"/>
  <c r="D51" i="1"/>
  <c r="H51" i="1" s="1"/>
  <c r="G51" i="1"/>
  <c r="G74" i="1"/>
  <c r="D74" i="1"/>
  <c r="H74" i="1" s="1"/>
  <c r="D69" i="1"/>
  <c r="H69" i="1" s="1"/>
  <c r="G69" i="1"/>
  <c r="D58" i="1"/>
  <c r="G58" i="1"/>
  <c r="D70" i="1"/>
  <c r="H70" i="1" s="1"/>
  <c r="G70" i="1"/>
  <c r="G56" i="1"/>
  <c r="D56" i="1"/>
  <c r="H56" i="1" s="1"/>
  <c r="D54" i="1"/>
  <c r="H54" i="1" s="1"/>
  <c r="G54" i="1"/>
  <c r="H62" i="1" l="1"/>
  <c r="H68" i="1"/>
  <c r="H73" i="1"/>
  <c r="H64" i="1"/>
  <c r="H55" i="1"/>
  <c r="H77" i="1"/>
  <c r="H67" i="1"/>
  <c r="H58" i="1"/>
  <c r="H76" i="1"/>
  <c r="H52" i="1"/>
  <c r="H75" i="1"/>
  <c r="H72" i="1"/>
  <c r="H60" i="1"/>
</calcChain>
</file>

<file path=xl/sharedStrings.xml><?xml version="1.0" encoding="utf-8"?>
<sst xmlns="http://schemas.openxmlformats.org/spreadsheetml/2006/main" count="121" uniqueCount="81">
  <si>
    <t>ID#: 41 00899</t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</si>
  <si>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</si>
  <si>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t xml:space="preserve">Notes:  </t>
  </si>
  <si>
    <t>DAY</t>
  </si>
  <si>
    <t>Month/Year:</t>
  </si>
  <si>
    <t>95% of 4-hour turbidity readings ≤ 0.3 NTU?</t>
  </si>
  <si>
    <t>Revised September 2016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</si>
  <si>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</si>
  <si>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</si>
  <si>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</si>
  <si>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>Actual CT</t>
  </si>
  <si>
    <t>[° C]</t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</si>
  <si>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</si>
  <si>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Toledo Water Utilities</t>
  </si>
  <si>
    <t>Peak Hourly Demand Flow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</si>
  <si>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</si>
  <si>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May_25</t>
  </si>
  <si>
    <t>C X T</t>
  </si>
  <si>
    <t xml:space="preserve">System Name: </t>
  </si>
  <si>
    <t xml:space="preserve">WTP :  TP - </t>
  </si>
  <si>
    <t>Monthly Summary (Answer Yes or No)</t>
  </si>
  <si>
    <t>Day</t>
  </si>
  <si>
    <t>16 / 12:00</t>
  </si>
  <si>
    <t>8 PM          [NTU]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</si>
  <si>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</si>
  <si>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t xml:space="preserve">Month/Year: </t>
  </si>
  <si>
    <t>May</t>
  </si>
  <si>
    <t>OHA - Drinking Water Program - Surface Water Quality Data Form</t>
  </si>
  <si>
    <t>WTP - :</t>
  </si>
  <si>
    <t>Date / Time</t>
  </si>
  <si>
    <t>All 4-hour turbidity readings ≤ 1 NTU?</t>
  </si>
  <si>
    <t>12 AM               [NTU]</t>
  </si>
  <si>
    <t>Yes / No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</si>
  <si>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</si>
  <si>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>Required CT</t>
  </si>
  <si>
    <t>formula</t>
  </si>
  <si>
    <t>NOON            [NTU]</t>
  </si>
  <si>
    <t>CT's met everyday?
 (see back)</t>
  </si>
  <si>
    <t>Lincoln</t>
  </si>
  <si>
    <t>Temp</t>
  </si>
  <si>
    <r>
      <t xml:space="preserve">CT Met? </t>
    </r>
    <r>
      <rPr>
        <vertAlign val="superscript"/>
        <sz val="12"/>
        <rFont val="Arial"/>
        <family val="2"/>
      </rPr>
      <t>3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</si>
  <si>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</si>
  <si>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</si>
  <si>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8 AM           [NTU]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</si>
  <si>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</si>
  <si>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</si>
  <si>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</si>
  <si>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t>Conventional or Direct Filtration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</si>
  <si>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</si>
  <si>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[GPM]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</si>
  <si>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</si>
  <si>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t xml:space="preserve">        PAGE 1 of 2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</si>
  <si>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</si>
  <si>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</si>
  <si>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</si>
  <si>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</si>
  <si>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[ppm or mg/L]</t>
  </si>
  <si>
    <t>MONTH</t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</si>
  <si>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</si>
  <si>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County:</t>
  </si>
  <si>
    <t>4 PM                 [NTU]</t>
  </si>
  <si>
    <t>PAGE 2 of 2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</si>
  <si>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</si>
  <si>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</si>
  <si>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[minutes]</t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</si>
  <si>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</si>
  <si>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4 AM                 [NTU]</t>
  </si>
  <si>
    <t xml:space="preserve">All Cl2 residual at entry point
  ≥ 0.2 mg/l? </t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</si>
  <si>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</si>
  <si>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</si>
  <si>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pH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</si>
  <si>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</si>
  <si>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</si>
  <si>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 xml:space="preserve">OHA - Drinking Water Services -Turbidity Monitoring Report Form </t>
  </si>
  <si>
    <t xml:space="preserve">Yes </t>
  </si>
  <si>
    <t>PRINTED NAME:Zachary J Dues</t>
  </si>
  <si>
    <t>SIGNATURE:Zachary J Dues</t>
  </si>
  <si>
    <t>PHONE #: (541)336-2610</t>
  </si>
  <si>
    <t>DATE:06/02/2025</t>
  </si>
  <si>
    <t>CERT #:269781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</si>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</sst>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sz val="11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0310373241370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03103732413709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49" fontId="2" fillId="2" borderId="0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164" fontId="1" fillId="0" borderId="8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0" fillId="0" borderId="0" xfId="0" applyBorder="1"/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0" fillId="0" borderId="0" xfId="0" applyFont="1" applyBorder="1"/>
    <xf numFmtId="0" fontId="3" fillId="0" borderId="6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164" fontId="1" fillId="0" borderId="17" xfId="0" applyNumberFormat="1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0" fillId="0" borderId="0" xfId="0" applyFont="1" applyProtection="1"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2" fontId="1" fillId="0" borderId="25" xfId="0" applyNumberFormat="1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>
      <alignment horizontal="center"/>
    </xf>
    <xf numFmtId="164" fontId="1" fillId="0" borderId="24" xfId="0" applyNumberFormat="1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1" fontId="0" fillId="0" borderId="0" xfId="0" applyNumberFormat="1" applyFont="1" applyBorder="1" applyAlignment="1">
      <alignment horizontal="center"/>
    </xf>
    <xf numFmtId="0" fontId="3" fillId="0" borderId="28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" vertical="top" wrapText="1"/>
    </xf>
    <xf numFmtId="49" fontId="9" fillId="3" borderId="0" xfId="0" applyNumberFormat="1" applyFont="1" applyFill="1" applyBorder="1" applyAlignment="1">
      <alignment horizontal="center" vertical="top" wrapText="1"/>
    </xf>
    <xf numFmtId="0" fontId="8" fillId="0" borderId="8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2" fontId="1" fillId="0" borderId="4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>
      <alignment horizontal="center" vertical="center" wrapText="1"/>
    </xf>
    <xf numFmtId="49" fontId="0" fillId="4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49" fontId="9" fillId="5" borderId="0" xfId="0" applyNumberFormat="1" applyFont="1" applyFill="1" applyBorder="1" applyAlignment="1">
      <alignment horizontal="center" vertical="top" wrapText="1"/>
    </xf>
    <xf numFmtId="2" fontId="1" fillId="0" borderId="45" xfId="0" applyNumberFormat="1" applyFont="1" applyBorder="1" applyAlignment="1" applyProtection="1">
      <alignment horizontal="center"/>
      <protection locked="0"/>
    </xf>
    <xf numFmtId="164" fontId="1" fillId="0" borderId="46" xfId="0" applyNumberFormat="1" applyFont="1" applyBorder="1" applyAlignment="1" applyProtection="1">
      <alignment horizont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4" fillId="0" borderId="38" xfId="0" applyNumberFormat="1" applyFont="1" applyBorder="1" applyAlignment="1" applyProtection="1">
      <alignment horizontal="center"/>
      <protection locked="0"/>
    </xf>
    <xf numFmtId="2" fontId="1" fillId="0" borderId="48" xfId="0" applyNumberFormat="1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164" fontId="1" fillId="0" borderId="48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" fillId="0" borderId="52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8" fillId="5" borderId="0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Border="1" applyAlignment="1">
      <alignment horizontal="center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55" xfId="0" applyFont="1" applyBorder="1" applyAlignment="1" applyProtection="1">
      <alignment horizontal="center"/>
      <protection locked="0"/>
    </xf>
    <xf numFmtId="164" fontId="3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45" xfId="0" applyNumberFormat="1" applyFont="1" applyBorder="1" applyAlignment="1" applyProtection="1">
      <alignment horizontal="center"/>
    </xf>
    <xf numFmtId="0" fontId="1" fillId="0" borderId="49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7" fontId="8" fillId="0" borderId="8" xfId="0" applyNumberFormat="1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2" fillId="6" borderId="0" xfId="0" applyNumberFormat="1" applyFont="1" applyFill="1" applyBorder="1" applyAlignment="1">
      <alignment horizontal="center" vertical="top" wrapText="1"/>
    </xf>
    <xf numFmtId="49" fontId="0" fillId="7" borderId="0" xfId="0" applyNumberFormat="1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167" fontId="8" fillId="0" borderId="0" xfId="0" applyNumberFormat="1" applyFont="1" applyBorder="1" applyAlignment="1">
      <alignment horizontal="center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2" fontId="1" fillId="0" borderId="37" xfId="0" applyNumberFormat="1" applyFont="1" applyBorder="1" applyAlignment="1" applyProtection="1">
      <alignment horizontal="center"/>
      <protection locked="0"/>
    </xf>
    <xf numFmtId="2" fontId="1" fillId="0" borderId="41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protection locked="0"/>
    </xf>
    <xf numFmtId="49" fontId="0" fillId="0" borderId="10" xfId="0" applyNumberFormat="1" applyBorder="1" applyAlignment="1" applyProtection="1"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2" fontId="1" fillId="0" borderId="51" xfId="0" applyNumberFormat="1" applyFont="1" applyBorder="1" applyAlignment="1" applyProtection="1">
      <alignment horizontal="center"/>
      <protection locked="0"/>
    </xf>
    <xf numFmtId="2" fontId="1" fillId="0" borderId="39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58" xfId="0" applyFont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0" borderId="26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56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44" xfId="0" applyFont="1" applyBorder="1" applyAlignment="1" applyProtection="1">
      <alignment vertical="top" wrapText="1"/>
      <protection locked="0"/>
    </xf>
    <xf numFmtId="0" fontId="1" fillId="0" borderId="40" xfId="0" applyFont="1" applyBorder="1" applyAlignment="1" applyProtection="1">
      <protection locked="0"/>
    </xf>
    <xf numFmtId="0" fontId="1" fillId="0" borderId="28" xfId="0" applyFont="1" applyBorder="1" applyAlignment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57" xfId="0" applyFont="1" applyBorder="1" applyAlignment="1" applyProtection="1">
      <alignment wrapText="1"/>
      <protection locked="0"/>
    </xf>
    <xf numFmtId="0" fontId="3" fillId="0" borderId="21" xfId="0" applyFont="1" applyBorder="1" applyAlignment="1" applyProtection="1">
      <alignment wrapText="1"/>
      <protection locked="0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75" workbookViewId="0">
      <selection activeCell="A2" sqref="A2:G2"/>
    </sheetView>
  </sheetViews>
  <sheetFormatPr defaultRowHeight="12.75" x14ac:dyDescent="0.2"/>
  <cols>
    <col min="1" max="1" width="15.85546875" style="63" customWidth="1"/>
    <col min="2" max="7" width="14.5703125" style="63" customWidth="1"/>
    <col min="8" max="8" width="19.85546875" style="63" customWidth="1"/>
    <col min="9" max="9" width="17.5703125" style="63" customWidth="1"/>
    <col min="10" max="256" width="9.140625" style="63"/>
    <col min="257" max="257" width="15.85546875" style="63" customWidth="1"/>
    <col min="258" max="263" width="14.5703125" style="63" customWidth="1"/>
    <col min="264" max="264" width="19.85546875" style="63" customWidth="1"/>
    <col min="265" max="265" width="17.5703125" style="63" customWidth="1"/>
    <col min="266" max="512" width="9.140625" style="63"/>
    <col min="513" max="513" width="15.85546875" style="63" customWidth="1"/>
    <col min="514" max="519" width="14.5703125" style="63" customWidth="1"/>
    <col min="520" max="520" width="19.85546875" style="63" customWidth="1"/>
    <col min="521" max="521" width="17.5703125" style="63" customWidth="1"/>
    <col min="522" max="768" width="9.140625" style="63"/>
    <col min="769" max="769" width="15.85546875" style="63" customWidth="1"/>
    <col min="770" max="775" width="14.5703125" style="63" customWidth="1"/>
    <col min="776" max="776" width="19.85546875" style="63" customWidth="1"/>
    <col min="777" max="777" width="17.5703125" style="63" customWidth="1"/>
    <col min="778" max="1024" width="9.140625" style="63"/>
    <col min="1025" max="1025" width="15.85546875" style="63" customWidth="1"/>
    <col min="1026" max="1031" width="14.5703125" style="63" customWidth="1"/>
    <col min="1032" max="1032" width="19.85546875" style="63" customWidth="1"/>
    <col min="1033" max="1033" width="17.5703125" style="63" customWidth="1"/>
    <col min="1034" max="1280" width="9.140625" style="63"/>
    <col min="1281" max="1281" width="15.85546875" style="63" customWidth="1"/>
    <col min="1282" max="1287" width="14.5703125" style="63" customWidth="1"/>
    <col min="1288" max="1288" width="19.85546875" style="63" customWidth="1"/>
    <col min="1289" max="1289" width="17.5703125" style="63" customWidth="1"/>
    <col min="1290" max="1536" width="9.140625" style="63"/>
    <col min="1537" max="1537" width="15.85546875" style="63" customWidth="1"/>
    <col min="1538" max="1543" width="14.5703125" style="63" customWidth="1"/>
    <col min="1544" max="1544" width="19.85546875" style="63" customWidth="1"/>
    <col min="1545" max="1545" width="17.5703125" style="63" customWidth="1"/>
    <col min="1546" max="1792" width="9.140625" style="63"/>
    <col min="1793" max="1793" width="15.85546875" style="63" customWidth="1"/>
    <col min="1794" max="1799" width="14.5703125" style="63" customWidth="1"/>
    <col min="1800" max="1800" width="19.85546875" style="63" customWidth="1"/>
    <col min="1801" max="1801" width="17.5703125" style="63" customWidth="1"/>
    <col min="1802" max="2048" width="9.140625" style="63"/>
    <col min="2049" max="2049" width="15.85546875" style="63" customWidth="1"/>
    <col min="2050" max="2055" width="14.5703125" style="63" customWidth="1"/>
    <col min="2056" max="2056" width="19.85546875" style="63" customWidth="1"/>
    <col min="2057" max="2057" width="17.5703125" style="63" customWidth="1"/>
    <col min="2058" max="2304" width="9.140625" style="63"/>
    <col min="2305" max="2305" width="15.85546875" style="63" customWidth="1"/>
    <col min="2306" max="2311" width="14.5703125" style="63" customWidth="1"/>
    <col min="2312" max="2312" width="19.85546875" style="63" customWidth="1"/>
    <col min="2313" max="2313" width="17.5703125" style="63" customWidth="1"/>
    <col min="2314" max="2560" width="9.140625" style="63"/>
    <col min="2561" max="2561" width="15.85546875" style="63" customWidth="1"/>
    <col min="2562" max="2567" width="14.5703125" style="63" customWidth="1"/>
    <col min="2568" max="2568" width="19.85546875" style="63" customWidth="1"/>
    <col min="2569" max="2569" width="17.5703125" style="63" customWidth="1"/>
    <col min="2570" max="2816" width="9.140625" style="63"/>
    <col min="2817" max="2817" width="15.85546875" style="63" customWidth="1"/>
    <col min="2818" max="2823" width="14.5703125" style="63" customWidth="1"/>
    <col min="2824" max="2824" width="19.85546875" style="63" customWidth="1"/>
    <col min="2825" max="2825" width="17.5703125" style="63" customWidth="1"/>
    <col min="2826" max="3072" width="9.140625" style="63"/>
    <col min="3073" max="3073" width="15.85546875" style="63" customWidth="1"/>
    <col min="3074" max="3079" width="14.5703125" style="63" customWidth="1"/>
    <col min="3080" max="3080" width="19.85546875" style="63" customWidth="1"/>
    <col min="3081" max="3081" width="17.5703125" style="63" customWidth="1"/>
    <col min="3082" max="3328" width="9.140625" style="63"/>
    <col min="3329" max="3329" width="15.85546875" style="63" customWidth="1"/>
    <col min="3330" max="3335" width="14.5703125" style="63" customWidth="1"/>
    <col min="3336" max="3336" width="19.85546875" style="63" customWidth="1"/>
    <col min="3337" max="3337" width="17.5703125" style="63" customWidth="1"/>
    <col min="3338" max="3584" width="9.140625" style="63"/>
    <col min="3585" max="3585" width="15.85546875" style="63" customWidth="1"/>
    <col min="3586" max="3591" width="14.5703125" style="63" customWidth="1"/>
    <col min="3592" max="3592" width="19.85546875" style="63" customWidth="1"/>
    <col min="3593" max="3593" width="17.5703125" style="63" customWidth="1"/>
    <col min="3594" max="3840" width="9.140625" style="63"/>
    <col min="3841" max="3841" width="15.85546875" style="63" customWidth="1"/>
    <col min="3842" max="3847" width="14.5703125" style="63" customWidth="1"/>
    <col min="3848" max="3848" width="19.85546875" style="63" customWidth="1"/>
    <col min="3849" max="3849" width="17.5703125" style="63" customWidth="1"/>
    <col min="3850" max="4096" width="9.140625" style="63"/>
    <col min="4097" max="4097" width="15.85546875" style="63" customWidth="1"/>
    <col min="4098" max="4103" width="14.5703125" style="63" customWidth="1"/>
    <col min="4104" max="4104" width="19.85546875" style="63" customWidth="1"/>
    <col min="4105" max="4105" width="17.5703125" style="63" customWidth="1"/>
    <col min="4106" max="4352" width="9.140625" style="63"/>
    <col min="4353" max="4353" width="15.85546875" style="63" customWidth="1"/>
    <col min="4354" max="4359" width="14.5703125" style="63" customWidth="1"/>
    <col min="4360" max="4360" width="19.85546875" style="63" customWidth="1"/>
    <col min="4361" max="4361" width="17.5703125" style="63" customWidth="1"/>
    <col min="4362" max="4608" width="9.140625" style="63"/>
    <col min="4609" max="4609" width="15.85546875" style="63" customWidth="1"/>
    <col min="4610" max="4615" width="14.5703125" style="63" customWidth="1"/>
    <col min="4616" max="4616" width="19.85546875" style="63" customWidth="1"/>
    <col min="4617" max="4617" width="17.5703125" style="63" customWidth="1"/>
    <col min="4618" max="4864" width="9.140625" style="63"/>
    <col min="4865" max="4865" width="15.85546875" style="63" customWidth="1"/>
    <col min="4866" max="4871" width="14.5703125" style="63" customWidth="1"/>
    <col min="4872" max="4872" width="19.85546875" style="63" customWidth="1"/>
    <col min="4873" max="4873" width="17.5703125" style="63" customWidth="1"/>
    <col min="4874" max="5120" width="9.140625" style="63"/>
    <col min="5121" max="5121" width="15.85546875" style="63" customWidth="1"/>
    <col min="5122" max="5127" width="14.5703125" style="63" customWidth="1"/>
    <col min="5128" max="5128" width="19.85546875" style="63" customWidth="1"/>
    <col min="5129" max="5129" width="17.5703125" style="63" customWidth="1"/>
    <col min="5130" max="5376" width="9.140625" style="63"/>
    <col min="5377" max="5377" width="15.85546875" style="63" customWidth="1"/>
    <col min="5378" max="5383" width="14.5703125" style="63" customWidth="1"/>
    <col min="5384" max="5384" width="19.85546875" style="63" customWidth="1"/>
    <col min="5385" max="5385" width="17.5703125" style="63" customWidth="1"/>
    <col min="5386" max="5632" width="9.140625" style="63"/>
    <col min="5633" max="5633" width="15.85546875" style="63" customWidth="1"/>
    <col min="5634" max="5639" width="14.5703125" style="63" customWidth="1"/>
    <col min="5640" max="5640" width="19.85546875" style="63" customWidth="1"/>
    <col min="5641" max="5641" width="17.5703125" style="63" customWidth="1"/>
    <col min="5642" max="5888" width="9.140625" style="63"/>
    <col min="5889" max="5889" width="15.85546875" style="63" customWidth="1"/>
    <col min="5890" max="5895" width="14.5703125" style="63" customWidth="1"/>
    <col min="5896" max="5896" width="19.85546875" style="63" customWidth="1"/>
    <col min="5897" max="5897" width="17.5703125" style="63" customWidth="1"/>
    <col min="5898" max="6144" width="9.140625" style="63"/>
    <col min="6145" max="6145" width="15.85546875" style="63" customWidth="1"/>
    <col min="6146" max="6151" width="14.5703125" style="63" customWidth="1"/>
    <col min="6152" max="6152" width="19.85546875" style="63" customWidth="1"/>
    <col min="6153" max="6153" width="17.5703125" style="63" customWidth="1"/>
    <col min="6154" max="6400" width="9.140625" style="63"/>
    <col min="6401" max="6401" width="15.85546875" style="63" customWidth="1"/>
    <col min="6402" max="6407" width="14.5703125" style="63" customWidth="1"/>
    <col min="6408" max="6408" width="19.85546875" style="63" customWidth="1"/>
    <col min="6409" max="6409" width="17.5703125" style="63" customWidth="1"/>
    <col min="6410" max="6656" width="9.140625" style="63"/>
    <col min="6657" max="6657" width="15.85546875" style="63" customWidth="1"/>
    <col min="6658" max="6663" width="14.5703125" style="63" customWidth="1"/>
    <col min="6664" max="6664" width="19.85546875" style="63" customWidth="1"/>
    <col min="6665" max="6665" width="17.5703125" style="63" customWidth="1"/>
    <col min="6666" max="6912" width="9.140625" style="63"/>
    <col min="6913" max="6913" width="15.85546875" style="63" customWidth="1"/>
    <col min="6914" max="6919" width="14.5703125" style="63" customWidth="1"/>
    <col min="6920" max="6920" width="19.85546875" style="63" customWidth="1"/>
    <col min="6921" max="6921" width="17.5703125" style="63" customWidth="1"/>
    <col min="6922" max="7168" width="9.140625" style="63"/>
    <col min="7169" max="7169" width="15.85546875" style="63" customWidth="1"/>
    <col min="7170" max="7175" width="14.5703125" style="63" customWidth="1"/>
    <col min="7176" max="7176" width="19.85546875" style="63" customWidth="1"/>
    <col min="7177" max="7177" width="17.5703125" style="63" customWidth="1"/>
    <col min="7178" max="7424" width="9.140625" style="63"/>
    <col min="7425" max="7425" width="15.85546875" style="63" customWidth="1"/>
    <col min="7426" max="7431" width="14.5703125" style="63" customWidth="1"/>
    <col min="7432" max="7432" width="19.85546875" style="63" customWidth="1"/>
    <col min="7433" max="7433" width="17.5703125" style="63" customWidth="1"/>
    <col min="7434" max="7680" width="9.140625" style="63"/>
    <col min="7681" max="7681" width="15.85546875" style="63" customWidth="1"/>
    <col min="7682" max="7687" width="14.5703125" style="63" customWidth="1"/>
    <col min="7688" max="7688" width="19.85546875" style="63" customWidth="1"/>
    <col min="7689" max="7689" width="17.5703125" style="63" customWidth="1"/>
    <col min="7690" max="7936" width="9.140625" style="63"/>
    <col min="7937" max="7937" width="15.85546875" style="63" customWidth="1"/>
    <col min="7938" max="7943" width="14.5703125" style="63" customWidth="1"/>
    <col min="7944" max="7944" width="19.85546875" style="63" customWidth="1"/>
    <col min="7945" max="7945" width="17.5703125" style="63" customWidth="1"/>
    <col min="7946" max="8192" width="9.140625" style="63"/>
    <col min="8193" max="8193" width="15.85546875" style="63" customWidth="1"/>
    <col min="8194" max="8199" width="14.5703125" style="63" customWidth="1"/>
    <col min="8200" max="8200" width="19.85546875" style="63" customWidth="1"/>
    <col min="8201" max="8201" width="17.5703125" style="63" customWidth="1"/>
    <col min="8202" max="8448" width="9.140625" style="63"/>
    <col min="8449" max="8449" width="15.85546875" style="63" customWidth="1"/>
    <col min="8450" max="8455" width="14.5703125" style="63" customWidth="1"/>
    <col min="8456" max="8456" width="19.85546875" style="63" customWidth="1"/>
    <col min="8457" max="8457" width="17.5703125" style="63" customWidth="1"/>
    <col min="8458" max="8704" width="9.140625" style="63"/>
    <col min="8705" max="8705" width="15.85546875" style="63" customWidth="1"/>
    <col min="8706" max="8711" width="14.5703125" style="63" customWidth="1"/>
    <col min="8712" max="8712" width="19.85546875" style="63" customWidth="1"/>
    <col min="8713" max="8713" width="17.5703125" style="63" customWidth="1"/>
    <col min="8714" max="8960" width="9.140625" style="63"/>
    <col min="8961" max="8961" width="15.85546875" style="63" customWidth="1"/>
    <col min="8962" max="8967" width="14.5703125" style="63" customWidth="1"/>
    <col min="8968" max="8968" width="19.85546875" style="63" customWidth="1"/>
    <col min="8969" max="8969" width="17.5703125" style="63" customWidth="1"/>
    <col min="8970" max="9216" width="9.140625" style="63"/>
    <col min="9217" max="9217" width="15.85546875" style="63" customWidth="1"/>
    <col min="9218" max="9223" width="14.5703125" style="63" customWidth="1"/>
    <col min="9224" max="9224" width="19.85546875" style="63" customWidth="1"/>
    <col min="9225" max="9225" width="17.5703125" style="63" customWidth="1"/>
    <col min="9226" max="9472" width="9.140625" style="63"/>
    <col min="9473" max="9473" width="15.85546875" style="63" customWidth="1"/>
    <col min="9474" max="9479" width="14.5703125" style="63" customWidth="1"/>
    <col min="9480" max="9480" width="19.85546875" style="63" customWidth="1"/>
    <col min="9481" max="9481" width="17.5703125" style="63" customWidth="1"/>
    <col min="9482" max="9728" width="9.140625" style="63"/>
    <col min="9729" max="9729" width="15.85546875" style="63" customWidth="1"/>
    <col min="9730" max="9735" width="14.5703125" style="63" customWidth="1"/>
    <col min="9736" max="9736" width="19.85546875" style="63" customWidth="1"/>
    <col min="9737" max="9737" width="17.5703125" style="63" customWidth="1"/>
    <col min="9738" max="9984" width="9.140625" style="63"/>
    <col min="9985" max="9985" width="15.85546875" style="63" customWidth="1"/>
    <col min="9986" max="9991" width="14.5703125" style="63" customWidth="1"/>
    <col min="9992" max="9992" width="19.85546875" style="63" customWidth="1"/>
    <col min="9993" max="9993" width="17.5703125" style="63" customWidth="1"/>
    <col min="9994" max="10240" width="9.140625" style="63"/>
    <col min="10241" max="10241" width="15.85546875" style="63" customWidth="1"/>
    <col min="10242" max="10247" width="14.5703125" style="63" customWidth="1"/>
    <col min="10248" max="10248" width="19.85546875" style="63" customWidth="1"/>
    <col min="10249" max="10249" width="17.5703125" style="63" customWidth="1"/>
    <col min="10250" max="10496" width="9.140625" style="63"/>
    <col min="10497" max="10497" width="15.85546875" style="63" customWidth="1"/>
    <col min="10498" max="10503" width="14.5703125" style="63" customWidth="1"/>
    <col min="10504" max="10504" width="19.85546875" style="63" customWidth="1"/>
    <col min="10505" max="10505" width="17.5703125" style="63" customWidth="1"/>
    <col min="10506" max="10752" width="9.140625" style="63"/>
    <col min="10753" max="10753" width="15.85546875" style="63" customWidth="1"/>
    <col min="10754" max="10759" width="14.5703125" style="63" customWidth="1"/>
    <col min="10760" max="10760" width="19.85546875" style="63" customWidth="1"/>
    <col min="10761" max="10761" width="17.5703125" style="63" customWidth="1"/>
    <col min="10762" max="11008" width="9.140625" style="63"/>
    <col min="11009" max="11009" width="15.85546875" style="63" customWidth="1"/>
    <col min="11010" max="11015" width="14.5703125" style="63" customWidth="1"/>
    <col min="11016" max="11016" width="19.85546875" style="63" customWidth="1"/>
    <col min="11017" max="11017" width="17.5703125" style="63" customWidth="1"/>
    <col min="11018" max="11264" width="9.140625" style="63"/>
    <col min="11265" max="11265" width="15.85546875" style="63" customWidth="1"/>
    <col min="11266" max="11271" width="14.5703125" style="63" customWidth="1"/>
    <col min="11272" max="11272" width="19.85546875" style="63" customWidth="1"/>
    <col min="11273" max="11273" width="17.5703125" style="63" customWidth="1"/>
    <col min="11274" max="11520" width="9.140625" style="63"/>
    <col min="11521" max="11521" width="15.85546875" style="63" customWidth="1"/>
    <col min="11522" max="11527" width="14.5703125" style="63" customWidth="1"/>
    <col min="11528" max="11528" width="19.85546875" style="63" customWidth="1"/>
    <col min="11529" max="11529" width="17.5703125" style="63" customWidth="1"/>
    <col min="11530" max="11776" width="9.140625" style="63"/>
    <col min="11777" max="11777" width="15.85546875" style="63" customWidth="1"/>
    <col min="11778" max="11783" width="14.5703125" style="63" customWidth="1"/>
    <col min="11784" max="11784" width="19.85546875" style="63" customWidth="1"/>
    <col min="11785" max="11785" width="17.5703125" style="63" customWidth="1"/>
    <col min="11786" max="12032" width="9.140625" style="63"/>
    <col min="12033" max="12033" width="15.85546875" style="63" customWidth="1"/>
    <col min="12034" max="12039" width="14.5703125" style="63" customWidth="1"/>
    <col min="12040" max="12040" width="19.85546875" style="63" customWidth="1"/>
    <col min="12041" max="12041" width="17.5703125" style="63" customWidth="1"/>
    <col min="12042" max="12288" width="9.140625" style="63"/>
    <col min="12289" max="12289" width="15.85546875" style="63" customWidth="1"/>
    <col min="12290" max="12295" width="14.5703125" style="63" customWidth="1"/>
    <col min="12296" max="12296" width="19.85546875" style="63" customWidth="1"/>
    <col min="12297" max="12297" width="17.5703125" style="63" customWidth="1"/>
    <col min="12298" max="12544" width="9.140625" style="63"/>
    <col min="12545" max="12545" width="15.85546875" style="63" customWidth="1"/>
    <col min="12546" max="12551" width="14.5703125" style="63" customWidth="1"/>
    <col min="12552" max="12552" width="19.85546875" style="63" customWidth="1"/>
    <col min="12553" max="12553" width="17.5703125" style="63" customWidth="1"/>
    <col min="12554" max="12800" width="9.140625" style="63"/>
    <col min="12801" max="12801" width="15.85546875" style="63" customWidth="1"/>
    <col min="12802" max="12807" width="14.5703125" style="63" customWidth="1"/>
    <col min="12808" max="12808" width="19.85546875" style="63" customWidth="1"/>
    <col min="12809" max="12809" width="17.5703125" style="63" customWidth="1"/>
    <col min="12810" max="13056" width="9.140625" style="63"/>
    <col min="13057" max="13057" width="15.85546875" style="63" customWidth="1"/>
    <col min="13058" max="13063" width="14.5703125" style="63" customWidth="1"/>
    <col min="13064" max="13064" width="19.85546875" style="63" customWidth="1"/>
    <col min="13065" max="13065" width="17.5703125" style="63" customWidth="1"/>
    <col min="13066" max="13312" width="9.140625" style="63"/>
    <col min="13313" max="13313" width="15.85546875" style="63" customWidth="1"/>
    <col min="13314" max="13319" width="14.5703125" style="63" customWidth="1"/>
    <col min="13320" max="13320" width="19.85546875" style="63" customWidth="1"/>
    <col min="13321" max="13321" width="17.5703125" style="63" customWidth="1"/>
    <col min="13322" max="13568" width="9.140625" style="63"/>
    <col min="13569" max="13569" width="15.85546875" style="63" customWidth="1"/>
    <col min="13570" max="13575" width="14.5703125" style="63" customWidth="1"/>
    <col min="13576" max="13576" width="19.85546875" style="63" customWidth="1"/>
    <col min="13577" max="13577" width="17.5703125" style="63" customWidth="1"/>
    <col min="13578" max="13824" width="9.140625" style="63"/>
    <col min="13825" max="13825" width="15.85546875" style="63" customWidth="1"/>
    <col min="13826" max="13831" width="14.5703125" style="63" customWidth="1"/>
    <col min="13832" max="13832" width="19.85546875" style="63" customWidth="1"/>
    <col min="13833" max="13833" width="17.5703125" style="63" customWidth="1"/>
    <col min="13834" max="14080" width="9.140625" style="63"/>
    <col min="14081" max="14081" width="15.85546875" style="63" customWidth="1"/>
    <col min="14082" max="14087" width="14.5703125" style="63" customWidth="1"/>
    <col min="14088" max="14088" width="19.85546875" style="63" customWidth="1"/>
    <col min="14089" max="14089" width="17.5703125" style="63" customWidth="1"/>
    <col min="14090" max="14336" width="9.140625" style="63"/>
    <col min="14337" max="14337" width="15.85546875" style="63" customWidth="1"/>
    <col min="14338" max="14343" width="14.5703125" style="63" customWidth="1"/>
    <col min="14344" max="14344" width="19.85546875" style="63" customWidth="1"/>
    <col min="14345" max="14345" width="17.5703125" style="63" customWidth="1"/>
    <col min="14346" max="14592" width="9.140625" style="63"/>
    <col min="14593" max="14593" width="15.85546875" style="63" customWidth="1"/>
    <col min="14594" max="14599" width="14.5703125" style="63" customWidth="1"/>
    <col min="14600" max="14600" width="19.85546875" style="63" customWidth="1"/>
    <col min="14601" max="14601" width="17.5703125" style="63" customWidth="1"/>
    <col min="14602" max="14848" width="9.140625" style="63"/>
    <col min="14849" max="14849" width="15.85546875" style="63" customWidth="1"/>
    <col min="14850" max="14855" width="14.5703125" style="63" customWidth="1"/>
    <col min="14856" max="14856" width="19.85546875" style="63" customWidth="1"/>
    <col min="14857" max="14857" width="17.5703125" style="63" customWidth="1"/>
    <col min="14858" max="15104" width="9.140625" style="63"/>
    <col min="15105" max="15105" width="15.85546875" style="63" customWidth="1"/>
    <col min="15106" max="15111" width="14.5703125" style="63" customWidth="1"/>
    <col min="15112" max="15112" width="19.85546875" style="63" customWidth="1"/>
    <col min="15113" max="15113" width="17.5703125" style="63" customWidth="1"/>
    <col min="15114" max="15360" width="9.140625" style="63"/>
    <col min="15361" max="15361" width="15.85546875" style="63" customWidth="1"/>
    <col min="15362" max="15367" width="14.5703125" style="63" customWidth="1"/>
    <col min="15368" max="15368" width="19.85546875" style="63" customWidth="1"/>
    <col min="15369" max="15369" width="17.5703125" style="63" customWidth="1"/>
    <col min="15370" max="15616" width="9.140625" style="63"/>
    <col min="15617" max="15617" width="15.85546875" style="63" customWidth="1"/>
    <col min="15618" max="15623" width="14.5703125" style="63" customWidth="1"/>
    <col min="15624" max="15624" width="19.85546875" style="63" customWidth="1"/>
    <col min="15625" max="15625" width="17.5703125" style="63" customWidth="1"/>
    <col min="15626" max="15872" width="9.140625" style="63"/>
    <col min="15873" max="15873" width="15.85546875" style="63" customWidth="1"/>
    <col min="15874" max="15879" width="14.5703125" style="63" customWidth="1"/>
    <col min="15880" max="15880" width="19.85546875" style="63" customWidth="1"/>
    <col min="15881" max="15881" width="17.5703125" style="63" customWidth="1"/>
    <col min="15882" max="16128" width="9.140625" style="63"/>
    <col min="16129" max="16129" width="15.85546875" style="63" customWidth="1"/>
    <col min="16130" max="16135" width="14.5703125" style="63" customWidth="1"/>
    <col min="16136" max="16136" width="19.85546875" style="63" customWidth="1"/>
    <col min="16137" max="16137" width="17.5703125" style="63" customWidth="1"/>
    <col min="16138" max="16384" width="9.140625" style="63"/>
  </cols>
  <sheetData>
    <row r="1" spans="1:9" s="79" customFormat="1" ht="20.100000000000001" customHeight="1" x14ac:dyDescent="0.2">
      <c r="A1" s="96" t="s">
        <v>73</v>
      </c>
      <c r="B1" s="96"/>
      <c r="C1" s="96"/>
      <c r="D1" s="96"/>
      <c r="E1" s="96"/>
      <c r="F1" s="96"/>
      <c r="G1" s="96"/>
      <c r="H1" s="5" t="s">
        <v>59</v>
      </c>
      <c r="I1" s="43" t="s">
        <v>38</v>
      </c>
    </row>
    <row r="2" spans="1:9" s="79" customFormat="1" ht="20.25" customHeight="1" x14ac:dyDescent="0.2">
      <c r="A2" s="97" t="s">
        <v>47</v>
      </c>
      <c r="B2" s="97"/>
      <c r="C2" s="97"/>
      <c r="D2" s="97"/>
      <c r="E2" s="97"/>
      <c r="F2" s="97"/>
      <c r="G2" s="97"/>
      <c r="H2" s="16" t="s">
        <v>25</v>
      </c>
      <c r="I2" s="78" t="s">
        <v>16</v>
      </c>
    </row>
    <row r="3" spans="1:9" s="71" customFormat="1" ht="20.100000000000001" customHeight="1" x14ac:dyDescent="0.25">
      <c r="A3" s="14" t="s">
        <v>18</v>
      </c>
      <c r="B3" s="98" t="s">
        <v>13</v>
      </c>
      <c r="C3" s="98"/>
      <c r="D3" s="98"/>
      <c r="E3" s="36" t="s">
        <v>0</v>
      </c>
      <c r="F3" s="99"/>
      <c r="G3" s="100"/>
      <c r="H3" s="22" t="s">
        <v>19</v>
      </c>
      <c r="I3" s="74" t="s">
        <v>80</v>
      </c>
    </row>
    <row r="4" spans="1:9" s="65" customFormat="1" ht="31.5" customHeight="1" thickBot="1" x14ac:dyDescent="0.25">
      <c r="A4" s="35" t="s">
        <v>21</v>
      </c>
      <c r="B4" s="12" t="s">
        <v>31</v>
      </c>
      <c r="C4" s="24" t="s">
        <v>66</v>
      </c>
      <c r="D4" s="92" t="s">
        <v>43</v>
      </c>
      <c r="E4" s="40" t="s">
        <v>36</v>
      </c>
      <c r="F4" s="90" t="s">
        <v>60</v>
      </c>
      <c r="G4" s="44" t="s">
        <v>23</v>
      </c>
      <c r="H4" s="101" t="s">
        <v>48</v>
      </c>
      <c r="I4" s="102"/>
    </row>
    <row r="5" spans="1:9" ht="22.35" customHeight="1" thickTop="1" thickBot="1" x14ac:dyDescent="0.25">
      <c r="A5" s="20">
        <v>1</v>
      </c>
      <c r="B5" s="83" t="str">
        <f ca="1">IF(ISNA(MATCH(1,DATA_1!A2:A40,0)),"",IF(INDIRECT("DATA_1!C"&amp;(MATCH(1,DATA_1!A2:A40,0))+1)=999.99,"OFF",INDIRECT("DATA_1!C"&amp;(MATCH(1,DATA_1!A2:A40,0))+1)))</f>
        <v>OFF</v>
      </c>
      <c r="C5" s="55" t="str">
        <f ca="1">IF(ISNA(MATCH(1,DATA_1!A2:A40,0)),"",IF(INDIRECT("DATA_1!D"&amp;(MATCH(1,DATA_1!A2:A40,0))+1)=999.99,"OFF",INDIRECT("DATA_1!D"&amp;(MATCH(1,DATA_1!A2:A40,0))+1)))</f>
        <v>OFF</v>
      </c>
      <c r="D5" s="55" t="str">
        <f ca="1">IF(ISNA(MATCH(1,DATA_1!A2:A40,0)),"",IF(INDIRECT("DATA_1!E"&amp;(MATCH(1,DATA_1!A2:A40,0))+1)=999.99,"OFF",INDIRECT("DATA_1!E"&amp;(MATCH(1,DATA_1!A2:A40,0))+1)))</f>
        <v>OFF</v>
      </c>
      <c r="E5" s="59">
        <v>0.02</v>
      </c>
      <c r="F5" s="30">
        <v>0.02</v>
      </c>
      <c r="G5" s="64" t="str">
        <f ca="1">IF(ISNA(MATCH(1,DATA_1!A2:A40,0)),"",IF(INDIRECT("DATA_1!H"&amp;(MATCH(1,DATA_1!A2:A40,0))+1)=999.99,"OFF",INDIRECT("DATA_1!H"&amp;(MATCH(1,DATA_1!A2:A40,0))+1)))</f>
        <v>OFF</v>
      </c>
      <c r="H5" s="94">
        <v>0.02</v>
      </c>
      <c r="I5" s="95"/>
    </row>
    <row r="6" spans="1:9" ht="22.35" customHeight="1" thickTop="1" thickBot="1" x14ac:dyDescent="0.25">
      <c r="A6" s="58">
        <v>2</v>
      </c>
      <c r="B6" s="83" t="str">
        <f ca="1">IF(ISNA(MATCH(2,DATA_1!A2:A40,0)),"",IF(INDIRECT("DATA_1!C"&amp;(MATCH(2,DATA_1!A2:A40,0))+1)=999.99,"OFF",INDIRECT("DATA_1!C"&amp;(MATCH(2,DATA_1!A2:A40,0))+1)))</f>
        <v>OFF</v>
      </c>
      <c r="C6" s="55" t="str">
        <f ca="1">IF(ISNA(MATCH(2,DATA_1!A2:A40,0)),"",IF(INDIRECT("DATA_1!D"&amp;(MATCH(2,DATA_1!A2:A40,0))+1)=999.99,"OFF",INDIRECT("DATA_1!D"&amp;(MATCH(2,DATA_1!A2:A40,0))+1)))</f>
        <v>OFF</v>
      </c>
      <c r="D6" s="55">
        <v>0.02</v>
      </c>
      <c r="E6" s="59">
        <v>0.02</v>
      </c>
      <c r="F6" s="30">
        <v>0.02</v>
      </c>
      <c r="G6" s="64">
        <v>0.02</v>
      </c>
      <c r="H6" s="103">
        <v>0.02</v>
      </c>
      <c r="I6" s="104"/>
    </row>
    <row r="7" spans="1:9" ht="22.35" customHeight="1" thickTop="1" thickBot="1" x14ac:dyDescent="0.25">
      <c r="A7" s="58">
        <v>3</v>
      </c>
      <c r="B7" s="83" t="str">
        <f ca="1">IF(ISNA(MATCH(3,DATA_1!A2:A40,0)),"",IF(INDIRECT("DATA_1!C"&amp;(MATCH(3,DATA_1!A2:A40,0))+1)=999.99,"OFF",INDIRECT("DATA_1!C"&amp;(MATCH(3,DATA_1!A2:A40,0))+1)))</f>
        <v>OFF</v>
      </c>
      <c r="C7" s="55" t="str">
        <f ca="1">IF(ISNA(MATCH(3,DATA_1!A2:A40,0)),"",IF(INDIRECT("DATA_1!D"&amp;(MATCH(3,DATA_1!A2:A40,0))+1)=999.99,"OFF",INDIRECT("DATA_1!D"&amp;(MATCH(3,DATA_1!A2:A40,0))+1)))</f>
        <v>OFF</v>
      </c>
      <c r="D7" s="55">
        <v>0.02</v>
      </c>
      <c r="E7" s="59">
        <v>0.02</v>
      </c>
      <c r="F7" s="30">
        <v>0.02</v>
      </c>
      <c r="G7" s="64" t="str">
        <f ca="1">IF(ISNA(MATCH(3,DATA_1!A2:A40,0)),"",IF(INDIRECT("DATA_1!H"&amp;(MATCH(3,DATA_1!A2:A40,0))+1)=999.99,"OFF",INDIRECT("DATA_1!H"&amp;(MATCH(3,DATA_1!A2:A40,0))+1)))</f>
        <v>OFF</v>
      </c>
      <c r="H7" s="103">
        <v>0.02</v>
      </c>
      <c r="I7" s="104"/>
    </row>
    <row r="8" spans="1:9" ht="22.35" customHeight="1" thickTop="1" thickBot="1" x14ac:dyDescent="0.25">
      <c r="A8" s="58">
        <v>4</v>
      </c>
      <c r="B8" s="83" t="str">
        <f ca="1">IF(ISNA(MATCH(4,DATA_1!A2:A40,0)),"",IF(INDIRECT("DATA_1!C"&amp;(MATCH(4,DATA_1!A2:A40,0))+1)=999.99,"OFF",INDIRECT("DATA_1!C"&amp;(MATCH(4,DATA_1!A2:A40,0))+1)))</f>
        <v>OFF</v>
      </c>
      <c r="C8" s="55" t="str">
        <f ca="1">IF(ISNA(MATCH(4,DATA_1!A2:A40,0)),"",IF(INDIRECT("DATA_1!D"&amp;(MATCH(4,DATA_1!A2:A40,0))+1)=999.99,"OFF",INDIRECT("DATA_1!D"&amp;(MATCH(4,DATA_1!A2:A40,0))+1)))</f>
        <v>OFF</v>
      </c>
      <c r="D8" s="55">
        <v>0.02</v>
      </c>
      <c r="E8" s="59">
        <f ca="1">IF(ISNA(MATCH(4,DATA_1!A2:A40,0)),"",IF(INDIRECT("DATA_1!F"&amp;(MATCH(4,DATA_1!A2:A40,0))+1)=999.99,"OFF",INDIRECT("DATA_1!F"&amp;(MATCH(4,DATA_1!A2:A40,0))+1)))</f>
        <v>2.3414310000000001E-2</v>
      </c>
      <c r="F8" s="30">
        <f ca="1">IF(ISNA(MATCH(4,DATA_1!A2:A40,0)),"",IF(INDIRECT("DATA_1!G"&amp;(MATCH(4,DATA_1!A2:A40,0))+1)=999.99,"OFF",INDIRECT("DATA_1!G"&amp;(MATCH(4,DATA_1!A2:A40,0))+1)))</f>
        <v>2.4474309999999999E-2</v>
      </c>
      <c r="G8" s="64" t="str">
        <f ca="1">IF(ISNA(MATCH(4,DATA_1!A2:A40,0)),"",IF(INDIRECT("DATA_1!H"&amp;(MATCH(4,DATA_1!A2:A40,0))+1)=999.99,"OFF",INDIRECT("DATA_1!H"&amp;(MATCH(4,DATA_1!A2:A40,0))+1)))</f>
        <v>OFF</v>
      </c>
      <c r="H8" s="103">
        <v>0.02</v>
      </c>
      <c r="I8" s="104"/>
    </row>
    <row r="9" spans="1:9" ht="22.35" customHeight="1" thickTop="1" thickBot="1" x14ac:dyDescent="0.25">
      <c r="A9" s="58">
        <v>5</v>
      </c>
      <c r="B9" s="83" t="str">
        <f ca="1">IF(ISNA(MATCH(5,DATA_1!A2:A40,0)),"",IF(INDIRECT("DATA_1!C"&amp;(MATCH(5,DATA_1!A2:A40,0))+1)=999.99,"OFF",INDIRECT("DATA_1!C"&amp;(MATCH(5,DATA_1!A2:A40,0))+1)))</f>
        <v>OFF</v>
      </c>
      <c r="C9" s="55" t="str">
        <f ca="1">IF(ISNA(MATCH(5,DATA_1!A2:A40,0)),"",IF(INDIRECT("DATA_1!D"&amp;(MATCH(5,DATA_1!A2:A40,0))+1)=999.99,"OFF",INDIRECT("DATA_1!D"&amp;(MATCH(5,DATA_1!A2:A40,0))+1)))</f>
        <v>OFF</v>
      </c>
      <c r="D9" s="55">
        <v>0.02</v>
      </c>
      <c r="E9" s="59">
        <v>0.02</v>
      </c>
      <c r="F9" s="30">
        <v>0.02</v>
      </c>
      <c r="G9" s="64">
        <v>0.02</v>
      </c>
      <c r="H9" s="103">
        <v>0.02</v>
      </c>
      <c r="I9" s="104"/>
    </row>
    <row r="10" spans="1:9" ht="22.35" customHeight="1" thickTop="1" thickBot="1" x14ac:dyDescent="0.25">
      <c r="A10" s="58">
        <v>6</v>
      </c>
      <c r="B10" s="83" t="str">
        <f ca="1">IF(ISNA(MATCH(6,DATA_1!A2:A40,0)),"",IF(INDIRECT("DATA_1!C"&amp;(MATCH(6,DATA_1!A2:A40,0))+1)=999.99,"OFF",INDIRECT("DATA_1!C"&amp;(MATCH(6,DATA_1!A2:A40,0))+1)))</f>
        <v>OFF</v>
      </c>
      <c r="C10" s="55" t="str">
        <f ca="1">IF(ISNA(MATCH(6,DATA_1!A2:A40,0)),"",IF(INDIRECT("DATA_1!D"&amp;(MATCH(6,DATA_1!A2:A40,0))+1)=999.99,"OFF",INDIRECT("DATA_1!D"&amp;(MATCH(6,DATA_1!A2:A40,0))+1)))</f>
        <v>OFF</v>
      </c>
      <c r="D10" s="55">
        <v>0.02</v>
      </c>
      <c r="E10" s="59">
        <v>0.02</v>
      </c>
      <c r="F10" s="30">
        <v>0.02</v>
      </c>
      <c r="G10" s="64" t="str">
        <f ca="1">IF(ISNA(MATCH(6,DATA_1!A2:A40,0)),"",IF(INDIRECT("DATA_1!H"&amp;(MATCH(6,DATA_1!A2:A40,0))+1)=999.99,"OFF",INDIRECT("DATA_1!H"&amp;(MATCH(6,DATA_1!A2:A40,0))+1)))</f>
        <v>OFF</v>
      </c>
      <c r="H10" s="103">
        <v>0.02</v>
      </c>
      <c r="I10" s="104"/>
    </row>
    <row r="11" spans="1:9" ht="22.35" customHeight="1" thickTop="1" thickBot="1" x14ac:dyDescent="0.25">
      <c r="A11" s="58">
        <v>7</v>
      </c>
      <c r="B11" s="83" t="str">
        <f ca="1">IF(ISNA(MATCH(7,DATA_1!A2:A40,0)),"",IF(INDIRECT("DATA_1!C"&amp;(MATCH(7,DATA_1!A2:A40,0))+1)=999.99,"OFF",INDIRECT("DATA_1!C"&amp;(MATCH(7,DATA_1!A2:A40,0))+1)))</f>
        <v>OFF</v>
      </c>
      <c r="C11" s="55">
        <v>0.02</v>
      </c>
      <c r="D11" s="55">
        <v>0.02</v>
      </c>
      <c r="E11" s="59">
        <v>0.02</v>
      </c>
      <c r="F11" s="30" t="str">
        <f ca="1">IF(ISNA(MATCH(7,DATA_1!A2:A40,0)),"",IF(INDIRECT("DATA_1!G"&amp;(MATCH(7,DATA_1!A2:A40,0))+1)=999.99,"OFF",INDIRECT("DATA_1!G"&amp;(MATCH(7,DATA_1!A2:A40,0))+1)))</f>
        <v>OFF</v>
      </c>
      <c r="G11" s="64" t="str">
        <f ca="1">IF(ISNA(MATCH(7,DATA_1!A2:A40,0)),"",IF(INDIRECT("DATA_1!H"&amp;(MATCH(7,DATA_1!A2:A40,0))+1)=999.99,"OFF",INDIRECT("DATA_1!H"&amp;(MATCH(7,DATA_1!A2:A40,0))+1)))</f>
        <v>OFF</v>
      </c>
      <c r="H11" s="103">
        <v>0.02</v>
      </c>
      <c r="I11" s="104"/>
    </row>
    <row r="12" spans="1:9" ht="22.35" customHeight="1" thickTop="1" thickBot="1" x14ac:dyDescent="0.25">
      <c r="A12" s="58">
        <v>8</v>
      </c>
      <c r="B12" s="83" t="str">
        <f ca="1">IF(ISNA(MATCH(8,DATA_1!A2:A40,0)),"",IF(INDIRECT("DATA_1!C"&amp;(MATCH(8,DATA_1!A2:A40,0))+1)=999.99,"OFF",INDIRECT("DATA_1!C"&amp;(MATCH(8,DATA_1!A2:A40,0))+1)))</f>
        <v>OFF</v>
      </c>
      <c r="C12" s="55">
        <v>0.01</v>
      </c>
      <c r="D12" s="55" t="str">
        <f ca="1">IF(ISNA(MATCH(8,DATA_1!A2:A40,0)),"",IF(INDIRECT("DATA_1!E"&amp;(MATCH(8,DATA_1!A2:A40,0))+1)=999.99,"OFF",INDIRECT("DATA_1!E"&amp;(MATCH(8,DATA_1!A2:A40,0))+1)))</f>
        <v>OFF</v>
      </c>
      <c r="E12" s="59" t="str">
        <f ca="1">IF(ISNA(MATCH(8,DATA_1!A2:A40,0)),"",IF(INDIRECT("DATA_1!F"&amp;(MATCH(8,DATA_1!A2:A40,0))+1)=999.99,"OFF",INDIRECT("DATA_1!F"&amp;(MATCH(8,DATA_1!A2:A40,0))+1)))</f>
        <v>OFF</v>
      </c>
      <c r="F12" s="30">
        <v>0.01</v>
      </c>
      <c r="G12" s="64" t="str">
        <f ca="1">IF(ISNA(MATCH(8,DATA_1!A2:A40,0)),"",IF(INDIRECT("DATA_1!H"&amp;(MATCH(8,DATA_1!A2:A40,0))+1)=999.99,"OFF",INDIRECT("DATA_1!H"&amp;(MATCH(8,DATA_1!A2:A40,0))+1)))</f>
        <v>OFF</v>
      </c>
      <c r="H12" s="103">
        <v>0.01</v>
      </c>
      <c r="I12" s="104"/>
    </row>
    <row r="13" spans="1:9" ht="22.35" customHeight="1" thickTop="1" thickBot="1" x14ac:dyDescent="0.25">
      <c r="A13" s="58">
        <v>9</v>
      </c>
      <c r="B13" s="83" t="str">
        <f ca="1">IF(ISNA(MATCH(9,DATA_1!A2:A40,0)),"",IF(INDIRECT("DATA_1!C"&amp;(MATCH(9,DATA_1!A2:A40,0))+1)=999.99,"OFF",INDIRECT("DATA_1!C"&amp;(MATCH(9,DATA_1!A2:A40,0))+1)))</f>
        <v>OFF</v>
      </c>
      <c r="C13" s="55" t="str">
        <f ca="1">IF(ISNA(MATCH(9,DATA_1!A2:A40,0)),"",IF(INDIRECT("DATA_1!D"&amp;(MATCH(9,DATA_1!A2:A40,0))+1)=999.99,"OFF",INDIRECT("DATA_1!D"&amp;(MATCH(9,DATA_1!A2:A40,0))+1)))</f>
        <v>OFF</v>
      </c>
      <c r="D13" s="55">
        <v>0.01</v>
      </c>
      <c r="E13" s="59" t="str">
        <f ca="1">IF(ISNA(MATCH(9,DATA_1!A2:A40,0)),"",IF(INDIRECT("DATA_1!F"&amp;(MATCH(9,DATA_1!A2:A40,0))+1)=999.99,"OFF",INDIRECT("DATA_1!F"&amp;(MATCH(9,DATA_1!A2:A40,0))+1)))</f>
        <v>OFF</v>
      </c>
      <c r="F13" s="30">
        <v>0.01</v>
      </c>
      <c r="G13" s="64" t="str">
        <f ca="1">IF(ISNA(MATCH(9,DATA_1!A2:A40,0)),"",IF(INDIRECT("DATA_1!H"&amp;(MATCH(9,DATA_1!A2:A40,0))+1)=999.99,"OFF",INDIRECT("DATA_1!H"&amp;(MATCH(9,DATA_1!A2:A40,0))+1)))</f>
        <v>OFF</v>
      </c>
      <c r="H13" s="103">
        <v>0.01</v>
      </c>
      <c r="I13" s="104"/>
    </row>
    <row r="14" spans="1:9" ht="22.35" customHeight="1" thickTop="1" thickBot="1" x14ac:dyDescent="0.25">
      <c r="A14" s="58">
        <v>10</v>
      </c>
      <c r="B14" s="83" t="str">
        <f ca="1">IF(ISNA(MATCH(10,DATA_1!A2:A40,0)),"",IF(INDIRECT("DATA_1!C"&amp;(MATCH(10,DATA_1!A2:A40,0))+1)=999.99,"OFF",INDIRECT("DATA_1!C"&amp;(MATCH(10,DATA_1!A2:A40,0))+1)))</f>
        <v>OFF</v>
      </c>
      <c r="C14" s="55" t="str">
        <f ca="1">IF(ISNA(MATCH(10,DATA_1!A2:A40,0)),"",IF(INDIRECT("DATA_1!D"&amp;(MATCH(10,DATA_1!A2:A40,0))+1)=999.99,"OFF",INDIRECT("DATA_1!D"&amp;(MATCH(10,DATA_1!A2:A40,0))+1)))</f>
        <v>OFF</v>
      </c>
      <c r="D14" s="55" t="str">
        <f ca="1">IF(ISNA(MATCH(10,DATA_1!A2:A40,0)),"",IF(INDIRECT("DATA_1!E"&amp;(MATCH(10,DATA_1!A2:A40,0))+1)=999.99,"OFF",INDIRECT("DATA_1!E"&amp;(MATCH(10,DATA_1!A2:A40,0))+1)))</f>
        <v>OFF</v>
      </c>
      <c r="E14" s="59">
        <v>0.01</v>
      </c>
      <c r="F14" s="30">
        <v>0.01</v>
      </c>
      <c r="G14" s="64" t="str">
        <f ca="1">IF(ISNA(MATCH(10,DATA_1!A2:A40,0)),"",IF(INDIRECT("DATA_1!H"&amp;(MATCH(10,DATA_1!A2:A40,0))+1)=999.99,"OFF",INDIRECT("DATA_1!H"&amp;(MATCH(10,DATA_1!A2:A40,0))+1)))</f>
        <v>OFF</v>
      </c>
      <c r="H14" s="103">
        <v>0.01</v>
      </c>
      <c r="I14" s="104"/>
    </row>
    <row r="15" spans="1:9" ht="22.35" customHeight="1" thickTop="1" thickBot="1" x14ac:dyDescent="0.25">
      <c r="A15" s="58">
        <v>11</v>
      </c>
      <c r="B15" s="83" t="str">
        <f ca="1">IF(ISNA(MATCH(11,DATA_1!A2:A40,0)),"",IF(INDIRECT("DATA_1!C"&amp;(MATCH(11,DATA_1!A2:A40,0))+1)=999.99,"OFF",INDIRECT("DATA_1!C"&amp;(MATCH(11,DATA_1!A2:A40,0))+1)))</f>
        <v>OFF</v>
      </c>
      <c r="C15" s="55" t="str">
        <f ca="1">IF(ISNA(MATCH(11,DATA_1!A2:A40,0)),"",IF(INDIRECT("DATA_1!D"&amp;(MATCH(11,DATA_1!A2:A40,0))+1)=999.99,"OFF",INDIRECT("DATA_1!D"&amp;(MATCH(11,DATA_1!A2:A40,0))+1)))</f>
        <v>OFF</v>
      </c>
      <c r="D15" s="55" t="str">
        <f ca="1">IF(ISNA(MATCH(11,DATA_1!A2:A40,0)),"",IF(INDIRECT("DATA_1!E"&amp;(MATCH(11,DATA_1!A2:A40,0))+1)=999.99,"OFF",INDIRECT("DATA_1!E"&amp;(MATCH(11,DATA_1!A2:A40,0))+1)))</f>
        <v>OFF</v>
      </c>
      <c r="E15" s="59">
        <v>0.01</v>
      </c>
      <c r="F15" s="30">
        <v>0.01</v>
      </c>
      <c r="G15" s="64" t="str">
        <f ca="1">IF(ISNA(MATCH(11,DATA_1!A2:A40,0)),"",IF(INDIRECT("DATA_1!H"&amp;(MATCH(11,DATA_1!A2:A40,0))+1)=999.99,"OFF",INDIRECT("DATA_1!H"&amp;(MATCH(11,DATA_1!A2:A40,0))+1)))</f>
        <v>OFF</v>
      </c>
      <c r="H15" s="103">
        <v>0.01</v>
      </c>
      <c r="I15" s="104"/>
    </row>
    <row r="16" spans="1:9" ht="22.35" customHeight="1" thickTop="1" thickBot="1" x14ac:dyDescent="0.25">
      <c r="A16" s="58">
        <v>12</v>
      </c>
      <c r="B16" s="83" t="str">
        <f ca="1">IF(ISNA(MATCH(12,DATA_1!A2:A40,0)),"",IF(INDIRECT("DATA_1!C"&amp;(MATCH(12,DATA_1!A2:A40,0))+1)=999.99,"OFF",INDIRECT("DATA_1!C"&amp;(MATCH(12,DATA_1!A2:A40,0))+1)))</f>
        <v>OFF</v>
      </c>
      <c r="C16" s="55" t="str">
        <f ca="1">IF(ISNA(MATCH(12,DATA_1!A2:A40,0)),"",IF(INDIRECT("DATA_1!D"&amp;(MATCH(12,DATA_1!A2:A40,0))+1)=999.99,"OFF",INDIRECT("DATA_1!D"&amp;(MATCH(12,DATA_1!A2:A40,0))+1)))</f>
        <v>OFF</v>
      </c>
      <c r="D16" s="55">
        <v>0.01</v>
      </c>
      <c r="E16" s="59">
        <v>0.01</v>
      </c>
      <c r="F16" s="30">
        <v>0.02</v>
      </c>
      <c r="G16" s="64" t="str">
        <f ca="1">IF(ISNA(MATCH(12,DATA_1!A2:A40,0)),"",IF(INDIRECT("DATA_1!H"&amp;(MATCH(12,DATA_1!A2:A40,0))+1)=999.99,"OFF",INDIRECT("DATA_1!H"&amp;(MATCH(12,DATA_1!A2:A40,0))+1)))</f>
        <v>OFF</v>
      </c>
      <c r="H16" s="103">
        <v>0.02</v>
      </c>
      <c r="I16" s="104"/>
    </row>
    <row r="17" spans="1:9" ht="22.35" customHeight="1" thickTop="1" thickBot="1" x14ac:dyDescent="0.25">
      <c r="A17" s="58">
        <v>13</v>
      </c>
      <c r="B17" s="83" t="str">
        <f ca="1">IF(ISNA(MATCH(13,DATA_1!A2:A40,0)),"",IF(INDIRECT("DATA_1!C"&amp;(MATCH(13,DATA_1!A2:A40,0))+1)=999.99,"OFF",INDIRECT("DATA_1!C"&amp;(MATCH(13,DATA_1!A2:A40,0))+1)))</f>
        <v>OFF</v>
      </c>
      <c r="C17" s="55" t="str">
        <f ca="1">IF(ISNA(MATCH(13,DATA_1!A2:A40,0)),"",IF(INDIRECT("DATA_1!D"&amp;(MATCH(13,DATA_1!A2:A40,0))+1)=999.99,"OFF",INDIRECT("DATA_1!D"&amp;(MATCH(13,DATA_1!A2:A40,0))+1)))</f>
        <v>OFF</v>
      </c>
      <c r="D17" s="55">
        <v>0.02</v>
      </c>
      <c r="E17" s="59" t="str">
        <f ca="1">IF(ISNA(MATCH(13,DATA_1!A2:A40,0)),"",IF(INDIRECT("DATA_1!F"&amp;(MATCH(13,DATA_1!A2:A40,0))+1)=999.99,"OFF",INDIRECT("DATA_1!F"&amp;(MATCH(13,DATA_1!A2:A40,0))+1)))</f>
        <v>OFF</v>
      </c>
      <c r="F17" s="30">
        <v>0.02</v>
      </c>
      <c r="G17" s="64">
        <v>0.02</v>
      </c>
      <c r="H17" s="103">
        <v>0.02</v>
      </c>
      <c r="I17" s="104"/>
    </row>
    <row r="18" spans="1:9" ht="22.35" customHeight="1" thickTop="1" thickBot="1" x14ac:dyDescent="0.25">
      <c r="A18" s="58">
        <v>14</v>
      </c>
      <c r="B18" s="83" t="str">
        <f ca="1">IF(ISNA(MATCH(14,DATA_1!A2:A40,0)),"",IF(INDIRECT("DATA_1!C"&amp;(MATCH(14,DATA_1!A2:A40,0))+1)=999.99,"OFF",INDIRECT("DATA_1!C"&amp;(MATCH(14,DATA_1!A2:A40,0))+1)))</f>
        <v>OFF</v>
      </c>
      <c r="C18" s="55" t="str">
        <f ca="1">IF(ISNA(MATCH(14,DATA_1!A2:A40,0)),"",IF(INDIRECT("DATA_1!D"&amp;(MATCH(14,DATA_1!A2:A40,0))+1)=999.99,"OFF",INDIRECT("DATA_1!D"&amp;(MATCH(14,DATA_1!A2:A40,0))+1)))</f>
        <v>OFF</v>
      </c>
      <c r="D18" s="55">
        <v>0.02</v>
      </c>
      <c r="E18" s="59" t="str">
        <f ca="1">IF(ISNA(MATCH(14,DATA_1!A2:A40,0)),"",IF(INDIRECT("DATA_1!F"&amp;(MATCH(14,DATA_1!A2:A40,0))+1)=999.99,"OFF",INDIRECT("DATA_1!F"&amp;(MATCH(14,DATA_1!A2:A40,0))+1)))</f>
        <v>OFF</v>
      </c>
      <c r="F18" s="30" t="str">
        <f ca="1">IF(ISNA(MATCH(14,DATA_1!A2:A40,0)),"",IF(INDIRECT("DATA_1!G"&amp;(MATCH(14,DATA_1!A2:A40,0))+1)=999.99,"OFF",INDIRECT("DATA_1!G"&amp;(MATCH(14,DATA_1!A2:A40,0))+1)))</f>
        <v>OFF</v>
      </c>
      <c r="G18" s="64" t="str">
        <f ca="1">IF(ISNA(MATCH(14,DATA_1!A2:A40,0)),"",IF(INDIRECT("DATA_1!H"&amp;(MATCH(14,DATA_1!A2:A40,0))+1)=999.99,"OFF",INDIRECT("DATA_1!H"&amp;(MATCH(14,DATA_1!A2:A40,0))+1)))</f>
        <v>OFF</v>
      </c>
      <c r="H18" s="103">
        <v>0.02</v>
      </c>
      <c r="I18" s="104"/>
    </row>
    <row r="19" spans="1:9" ht="22.35" customHeight="1" thickTop="1" thickBot="1" x14ac:dyDescent="0.25">
      <c r="A19" s="58">
        <v>15</v>
      </c>
      <c r="B19" s="83">
        <v>0.02</v>
      </c>
      <c r="C19" s="55" t="str">
        <f ca="1">IF(ISNA(MATCH(15,DATA_1!A2:A40,0)),"",IF(INDIRECT("DATA_1!D"&amp;(MATCH(15,DATA_1!A2:A40,0))+1)=999.99,"OFF",INDIRECT("DATA_1!D"&amp;(MATCH(15,DATA_1!A2:A40,0))+1)))</f>
        <v>OFF</v>
      </c>
      <c r="D19" s="55" t="str">
        <f ca="1">IF(ISNA(MATCH(15,DATA_1!A2:A40,0)),"",IF(INDIRECT("DATA_1!E"&amp;(MATCH(15,DATA_1!A2:A40,0))+1)=999.99,"OFF",INDIRECT("DATA_1!E"&amp;(MATCH(15,DATA_1!A2:A40,0))+1)))</f>
        <v>OFF</v>
      </c>
      <c r="E19" s="59">
        <v>0.02</v>
      </c>
      <c r="F19" s="30" t="str">
        <f ca="1">IF(ISNA(MATCH(15,DATA_1!A2:A40,0)),"",IF(INDIRECT("DATA_1!G"&amp;(MATCH(15,DATA_1!A2:A40,0))+1)=999.99,"OFF",INDIRECT("DATA_1!G"&amp;(MATCH(15,DATA_1!A2:A40,0))+1)))</f>
        <v>OFF</v>
      </c>
      <c r="G19" s="64" t="str">
        <f ca="1">IF(ISNA(MATCH(15,DATA_1!A2:A40,0)),"",IF(INDIRECT("DATA_1!H"&amp;(MATCH(15,DATA_1!A2:A40,0))+1)=999.99,"OFF",INDIRECT("DATA_1!H"&amp;(MATCH(15,DATA_1!A2:A40,0))+1)))</f>
        <v>OFF</v>
      </c>
      <c r="H19" s="103">
        <v>0.02</v>
      </c>
      <c r="I19" s="104"/>
    </row>
    <row r="20" spans="1:9" ht="22.35" customHeight="1" thickTop="1" thickBot="1" x14ac:dyDescent="0.25">
      <c r="A20" s="58">
        <v>16</v>
      </c>
      <c r="B20" s="83">
        <v>0.02</v>
      </c>
      <c r="C20" s="55">
        <v>0.02</v>
      </c>
      <c r="D20" s="55" t="str">
        <f ca="1">IF(ISNA(MATCH(16,DATA_1!A2:A40,0)),"",IF(INDIRECT("DATA_1!E"&amp;(MATCH(16,DATA_1!A2:A40,0))+1)=999.99,"OFF",INDIRECT("DATA_1!E"&amp;(MATCH(16,DATA_1!A2:A40,0))+1)))</f>
        <v>OFF</v>
      </c>
      <c r="E20" s="59">
        <v>0.02</v>
      </c>
      <c r="F20" s="30" t="str">
        <f ca="1">IF(ISNA(MATCH(16,DATA_1!A2:A40,0)),"",IF(INDIRECT("DATA_1!G"&amp;(MATCH(16,DATA_1!A2:A40,0))+1)=999.99,"OFF",INDIRECT("DATA_1!G"&amp;(MATCH(16,DATA_1!A2:A40,0))+1)))</f>
        <v>OFF</v>
      </c>
      <c r="G20" s="64" t="str">
        <f ca="1">IF(ISNA(MATCH(16,DATA_1!A2:A40,0)),"",IF(INDIRECT("DATA_1!H"&amp;(MATCH(16,DATA_1!A2:A40,0))+1)=999.99,"OFF",INDIRECT("DATA_1!H"&amp;(MATCH(16,DATA_1!A2:A40,0))+1)))</f>
        <v>OFF</v>
      </c>
      <c r="H20" s="103">
        <v>0.02</v>
      </c>
      <c r="I20" s="104"/>
    </row>
    <row r="21" spans="1:9" ht="22.35" customHeight="1" thickTop="1" thickBot="1" x14ac:dyDescent="0.25">
      <c r="A21" s="58">
        <v>17</v>
      </c>
      <c r="B21" s="83" t="str">
        <f ca="1">IF(ISNA(MATCH(17,DATA_1!A2:A40,0)),"",IF(INDIRECT("DATA_1!C"&amp;(MATCH(17,DATA_1!A2:A40,0))+1)=999.99,"OFF",INDIRECT("DATA_1!C"&amp;(MATCH(17,DATA_1!A2:A40,0))+1)))</f>
        <v>OFF</v>
      </c>
      <c r="C21" s="55">
        <v>0.02</v>
      </c>
      <c r="D21" s="55" t="str">
        <f ca="1">IF(ISNA(MATCH(17,DATA_1!A2:A40,0)),"",IF(INDIRECT("DATA_1!E"&amp;(MATCH(17,DATA_1!A2:A40,0))+1)=999.99,"OFF",INDIRECT("DATA_1!E"&amp;(MATCH(17,DATA_1!A2:A40,0))+1)))</f>
        <v>OFF</v>
      </c>
      <c r="E21" s="59">
        <v>0.02</v>
      </c>
      <c r="F21" s="30" t="str">
        <f ca="1">IF(ISNA(MATCH(17,DATA_1!A2:A40,0)),"",IF(INDIRECT("DATA_1!G"&amp;(MATCH(17,DATA_1!A2:A40,0))+1)=999.99,"OFF",INDIRECT("DATA_1!G"&amp;(MATCH(17,DATA_1!A2:A40,0))+1)))</f>
        <v>OFF</v>
      </c>
      <c r="G21" s="64" t="str">
        <f ca="1">IF(ISNA(MATCH(17,DATA_1!A2:A40,0)),"",IF(INDIRECT("DATA_1!H"&amp;(MATCH(17,DATA_1!A2:A40,0))+1)=999.99,"OFF",INDIRECT("DATA_1!H"&amp;(MATCH(17,DATA_1!A2:A40,0))+1)))</f>
        <v>OFF</v>
      </c>
      <c r="H21" s="103">
        <v>0.02</v>
      </c>
      <c r="I21" s="104"/>
    </row>
    <row r="22" spans="1:9" ht="22.35" customHeight="1" thickTop="1" thickBot="1" x14ac:dyDescent="0.25">
      <c r="A22" s="58">
        <v>18</v>
      </c>
      <c r="B22" s="83" t="str">
        <f ca="1">IF(ISNA(MATCH(18,DATA_1!A2:A40,0)),"",IF(INDIRECT("DATA_1!C"&amp;(MATCH(18,DATA_1!A2:A40,0))+1)=999.99,"OFF",INDIRECT("DATA_1!C"&amp;(MATCH(18,DATA_1!A2:A40,0))+1)))</f>
        <v>OFF</v>
      </c>
      <c r="C22" s="55" t="str">
        <f ca="1">IF(ISNA(MATCH(18,DATA_1!A2:A40,0)),"",IF(INDIRECT("DATA_1!D"&amp;(MATCH(18,DATA_1!A2:A40,0))+1)=999.99,"OFF",INDIRECT("DATA_1!D"&amp;(MATCH(18,DATA_1!A2:A40,0))+1)))</f>
        <v>OFF</v>
      </c>
      <c r="D22" s="55">
        <v>0.02</v>
      </c>
      <c r="E22" s="59">
        <v>0.02</v>
      </c>
      <c r="F22" s="30" t="str">
        <f ca="1">IF(ISNA(MATCH(18,DATA_1!A2:A40,0)),"",IF(INDIRECT("DATA_1!G"&amp;(MATCH(18,DATA_1!A2:A40,0))+1)=999.99,"OFF",INDIRECT("DATA_1!G"&amp;(MATCH(18,DATA_1!A2:A40,0))+1)))</f>
        <v>OFF</v>
      </c>
      <c r="G22" s="64" t="str">
        <f ca="1">IF(ISNA(MATCH(18,DATA_1!A2:A40,0)),"",IF(INDIRECT("DATA_1!H"&amp;(MATCH(18,DATA_1!A2:A40,0))+1)=999.99,"OFF",INDIRECT("DATA_1!H"&amp;(MATCH(18,DATA_1!A2:A40,0))+1)))</f>
        <v>OFF</v>
      </c>
      <c r="H22" s="103">
        <v>0.02</v>
      </c>
      <c r="I22" s="104"/>
    </row>
    <row r="23" spans="1:9" ht="22.35" customHeight="1" thickTop="1" thickBot="1" x14ac:dyDescent="0.25">
      <c r="A23" s="58">
        <v>19</v>
      </c>
      <c r="B23" s="83">
        <v>0.02</v>
      </c>
      <c r="C23" s="55" t="str">
        <f ca="1">IF(ISNA(MATCH(19,DATA_1!A2:A40,0)),"",IF(INDIRECT("DATA_1!D"&amp;(MATCH(19,DATA_1!A2:A40,0))+1)=999.99,"OFF",INDIRECT("DATA_1!D"&amp;(MATCH(19,DATA_1!A2:A40,0))+1)))</f>
        <v>OFF</v>
      </c>
      <c r="D23" s="55" t="str">
        <f ca="1">IF(ISNA(MATCH(19,DATA_1!A2:A40,0)),"",IF(INDIRECT("DATA_1!E"&amp;(MATCH(19,DATA_1!A2:A40,0))+1)=999.99,"OFF",INDIRECT("DATA_1!E"&amp;(MATCH(19,DATA_1!A2:A40,0))+1)))</f>
        <v>OFF</v>
      </c>
      <c r="E23" s="59" t="str">
        <f ca="1">IF(ISNA(MATCH(19,DATA_1!A2:A40,0)),"",IF(INDIRECT("DATA_1!F"&amp;(MATCH(19,DATA_1!A2:A40,0))+1)=999.99,"OFF",INDIRECT("DATA_1!F"&amp;(MATCH(19,DATA_1!A2:A40,0))+1)))</f>
        <v>OFF</v>
      </c>
      <c r="F23" s="30">
        <v>0.02</v>
      </c>
      <c r="G23" s="64" t="str">
        <f ca="1">IF(ISNA(MATCH(19,DATA_1!A2:A40,0)),"",IF(INDIRECT("DATA_1!H"&amp;(MATCH(19,DATA_1!A2:A40,0))+1)=999.99,"OFF",INDIRECT("DATA_1!H"&amp;(MATCH(19,DATA_1!A2:A40,0))+1)))</f>
        <v>OFF</v>
      </c>
      <c r="H23" s="103">
        <v>0.02</v>
      </c>
      <c r="I23" s="104"/>
    </row>
    <row r="24" spans="1:9" ht="22.35" customHeight="1" thickTop="1" thickBot="1" x14ac:dyDescent="0.25">
      <c r="A24" s="58">
        <v>20</v>
      </c>
      <c r="B24" s="83" t="str">
        <f ca="1">IF(ISNA(MATCH(20,DATA_1!A2:A40,0)),"",IF(INDIRECT("DATA_1!C"&amp;(MATCH(20,DATA_1!A2:A40,0))+1)=999.99,"OFF",INDIRECT("DATA_1!C"&amp;(MATCH(20,DATA_1!A2:A40,0))+1)))</f>
        <v>OFF</v>
      </c>
      <c r="C24" s="55" t="str">
        <f ca="1">IF(ISNA(MATCH(20,DATA_1!A2:A40,0)),"",IF(INDIRECT("DATA_1!D"&amp;(MATCH(20,DATA_1!A2:A40,0))+1)=999.99,"OFF",INDIRECT("DATA_1!D"&amp;(MATCH(20,DATA_1!A2:A40,0))+1)))</f>
        <v>OFF</v>
      </c>
      <c r="D24" s="55">
        <v>0.02</v>
      </c>
      <c r="E24" s="59" t="str">
        <f ca="1">IF(ISNA(MATCH(20,DATA_1!A2:A40,0)),"",IF(INDIRECT("DATA_1!F"&amp;(MATCH(20,DATA_1!A2:A40,0))+1)=999.99,"OFF",INDIRECT("DATA_1!F"&amp;(MATCH(20,DATA_1!A2:A40,0))+1)))</f>
        <v>OFF</v>
      </c>
      <c r="F24" s="30" t="str">
        <f ca="1">IF(ISNA(MATCH(20,DATA_1!A2:A40,0)),"",IF(INDIRECT("DATA_1!G"&amp;(MATCH(20,DATA_1!A2:A40,0))+1)=999.99,"OFF",INDIRECT("DATA_1!G"&amp;(MATCH(20,DATA_1!A2:A40,0))+1)))</f>
        <v>OFF</v>
      </c>
      <c r="G24" s="64" t="str">
        <f ca="1">IF(ISNA(MATCH(20,DATA_1!A2:A40,0)),"",IF(INDIRECT("DATA_1!H"&amp;(MATCH(20,DATA_1!A2:A40,0))+1)=999.99,"OFF",INDIRECT("DATA_1!H"&amp;(MATCH(20,DATA_1!A2:A40,0))+1)))</f>
        <v>OFF</v>
      </c>
      <c r="H24" s="103">
        <v>0.02</v>
      </c>
      <c r="I24" s="104"/>
    </row>
    <row r="25" spans="1:9" ht="22.35" customHeight="1" thickTop="1" thickBot="1" x14ac:dyDescent="0.25">
      <c r="A25" s="58">
        <v>21</v>
      </c>
      <c r="B25" s="83">
        <v>0.02</v>
      </c>
      <c r="C25" s="55" t="str">
        <f ca="1">IF(ISNA(MATCH(21,DATA_1!A2:A40,0)),"",IF(INDIRECT("DATA_1!D"&amp;(MATCH(21,DATA_1!A2:A40,0))+1)=999.99,"OFF",INDIRECT("DATA_1!D"&amp;(MATCH(21,DATA_1!A2:A40,0))+1)))</f>
        <v>OFF</v>
      </c>
      <c r="D25" s="55">
        <v>0.02</v>
      </c>
      <c r="E25" s="59" t="str">
        <f ca="1">IF(ISNA(MATCH(21,DATA_1!A2:A40,0)),"",IF(INDIRECT("DATA_1!F"&amp;(MATCH(21,DATA_1!A2:A40,0))+1)=999.99,"OFF",INDIRECT("DATA_1!F"&amp;(MATCH(21,DATA_1!A2:A40,0))+1)))</f>
        <v>OFF</v>
      </c>
      <c r="F25" s="30" t="str">
        <f ca="1">IF(ISNA(MATCH(21,DATA_1!A2:A40,0)),"",IF(INDIRECT("DATA_1!G"&amp;(MATCH(21,DATA_1!A2:A40,0))+1)=999.99,"OFF",INDIRECT("DATA_1!G"&amp;(MATCH(21,DATA_1!A2:A40,0))+1)))</f>
        <v>OFF</v>
      </c>
      <c r="G25" s="64" t="str">
        <f ca="1">IF(ISNA(MATCH(21,DATA_1!A2:A40,0)),"",IF(INDIRECT("DATA_1!H"&amp;(MATCH(21,DATA_1!A2:A40,0))+1)=999.99,"OFF",INDIRECT("DATA_1!H"&amp;(MATCH(21,DATA_1!A2:A40,0))+1)))</f>
        <v>OFF</v>
      </c>
      <c r="H25" s="103">
        <v>0.02</v>
      </c>
      <c r="I25" s="104"/>
    </row>
    <row r="26" spans="1:9" ht="22.35" customHeight="1" thickTop="1" thickBot="1" x14ac:dyDescent="0.25">
      <c r="A26" s="58">
        <v>22</v>
      </c>
      <c r="B26" s="83">
        <v>0.02</v>
      </c>
      <c r="C26" s="55" t="str">
        <f ca="1">IF(ISNA(MATCH(22,DATA_1!A2:A40,0)),"",IF(INDIRECT("DATA_1!D"&amp;(MATCH(22,DATA_1!A2:A40,0))+1)=999.99,"OFF",INDIRECT("DATA_1!D"&amp;(MATCH(22,DATA_1!A2:A40,0))+1)))</f>
        <v>OFF</v>
      </c>
      <c r="D26" s="55">
        <v>0.02</v>
      </c>
      <c r="E26" s="59">
        <v>0.02</v>
      </c>
      <c r="F26" s="30" t="str">
        <f ca="1">IF(ISNA(MATCH(22,DATA_1!A2:A40,0)),"",IF(INDIRECT("DATA_1!G"&amp;(MATCH(22,DATA_1!A2:A40,0))+1)=999.99,"OFF",INDIRECT("DATA_1!G"&amp;(MATCH(22,DATA_1!A2:A40,0))+1)))</f>
        <v>OFF</v>
      </c>
      <c r="G26" s="64" t="str">
        <f ca="1">IF(ISNA(MATCH(22,DATA_1!A2:A40,0)),"",IF(INDIRECT("DATA_1!H"&amp;(MATCH(22,DATA_1!A2:A40,0))+1)=999.99,"OFF",INDIRECT("DATA_1!H"&amp;(MATCH(22,DATA_1!A2:A40,0))+1)))</f>
        <v>OFF</v>
      </c>
      <c r="H26" s="103">
        <v>0.02</v>
      </c>
      <c r="I26" s="104"/>
    </row>
    <row r="27" spans="1:9" ht="22.35" customHeight="1" thickTop="1" thickBot="1" x14ac:dyDescent="0.25">
      <c r="A27" s="58">
        <v>23</v>
      </c>
      <c r="B27" s="83" t="str">
        <f ca="1">IF(ISNA(MATCH(23,DATA_1!A2:A40,0)),"",IF(INDIRECT("DATA_1!C"&amp;(MATCH(23,DATA_1!A2:A40,0))+1)=999.99,"OFF",INDIRECT("DATA_1!C"&amp;(MATCH(23,DATA_1!A2:A40,0))+1)))</f>
        <v>OFF</v>
      </c>
      <c r="C27" s="55" t="str">
        <f ca="1">IF(ISNA(MATCH(23,DATA_1!A2:A40,0)),"",IF(INDIRECT("DATA_1!D"&amp;(MATCH(23,DATA_1!A2:A40,0))+1)=999.99,"OFF",INDIRECT("DATA_1!D"&amp;(MATCH(23,DATA_1!A2:A40,0))+1)))</f>
        <v>OFF</v>
      </c>
      <c r="D27" s="55">
        <v>0.02</v>
      </c>
      <c r="E27" s="59">
        <v>0.02</v>
      </c>
      <c r="F27" s="30">
        <v>0.02</v>
      </c>
      <c r="G27" s="64" t="str">
        <f ca="1">IF(ISNA(MATCH(23,DATA_1!A2:A40,0)),"",IF(INDIRECT("DATA_1!H"&amp;(MATCH(23,DATA_1!A2:A40,0))+1)=999.99,"OFF",INDIRECT("DATA_1!H"&amp;(MATCH(23,DATA_1!A2:A40,0))+1)))</f>
        <v>OFF</v>
      </c>
      <c r="H27" s="103">
        <v>0.02</v>
      </c>
      <c r="I27" s="104"/>
    </row>
    <row r="28" spans="1:9" ht="22.35" customHeight="1" thickTop="1" thickBot="1" x14ac:dyDescent="0.25">
      <c r="A28" s="58">
        <v>24</v>
      </c>
      <c r="B28" s="83" t="str">
        <f ca="1">IF(ISNA(MATCH(24,DATA_1!A2:A40,0)),"",IF(INDIRECT("DATA_1!C"&amp;(MATCH(24,DATA_1!A2:A40,0))+1)=999.99,"OFF",INDIRECT("DATA_1!C"&amp;(MATCH(24,DATA_1!A2:A40,0))+1)))</f>
        <v>OFF</v>
      </c>
      <c r="C28" s="55" t="str">
        <f ca="1">IF(ISNA(MATCH(24,DATA_1!A2:A40,0)),"",IF(INDIRECT("DATA_1!D"&amp;(MATCH(24,DATA_1!A2:A40,0))+1)=999.99,"OFF",INDIRECT("DATA_1!D"&amp;(MATCH(24,DATA_1!A2:A40,0))+1)))</f>
        <v>OFF</v>
      </c>
      <c r="D28" s="55" t="str">
        <f ca="1">IF(ISNA(MATCH(24,DATA_1!A2:A40,0)),"",IF(INDIRECT("DATA_1!E"&amp;(MATCH(24,DATA_1!A2:A40,0))+1)=999.99,"OFF",INDIRECT("DATA_1!E"&amp;(MATCH(24,DATA_1!A2:A40,0))+1)))</f>
        <v>OFF</v>
      </c>
      <c r="E28" s="59">
        <v>0.02</v>
      </c>
      <c r="F28" s="30">
        <v>0.02</v>
      </c>
      <c r="G28" s="64" t="str">
        <f ca="1">IF(ISNA(MATCH(24,DATA_1!A2:A40,0)),"",IF(INDIRECT("DATA_1!H"&amp;(MATCH(24,DATA_1!A2:A40,0))+1)=999.99,"OFF",INDIRECT("DATA_1!H"&amp;(MATCH(24,DATA_1!A2:A40,0))+1)))</f>
        <v>OFF</v>
      </c>
      <c r="H28" s="103">
        <v>0.02</v>
      </c>
      <c r="I28" s="104"/>
    </row>
    <row r="29" spans="1:9" ht="22.35" customHeight="1" thickTop="1" thickBot="1" x14ac:dyDescent="0.25">
      <c r="A29" s="58">
        <v>25</v>
      </c>
      <c r="B29" s="83" t="str">
        <f ca="1">IF(ISNA(MATCH(25,DATA_1!A2:A40,0)),"",IF(INDIRECT("DATA_1!C"&amp;(MATCH(25,DATA_1!A2:A40,0))+1)=999.99,"OFF",INDIRECT("DATA_1!C"&amp;(MATCH(25,DATA_1!A2:A40,0))+1)))</f>
        <v>OFF</v>
      </c>
      <c r="C29" s="55" t="str">
        <f ca="1">IF(ISNA(MATCH(25,DATA_1!A2:A40,0)),"",IF(INDIRECT("DATA_1!D"&amp;(MATCH(25,DATA_1!A2:A40,0))+1)=999.99,"OFF",INDIRECT("DATA_1!D"&amp;(MATCH(25,DATA_1!A2:A40,0))+1)))</f>
        <v>OFF</v>
      </c>
      <c r="D29" s="55">
        <v>0.02</v>
      </c>
      <c r="E29" s="59">
        <v>0.02</v>
      </c>
      <c r="F29" s="30" t="str">
        <f ca="1">IF(ISNA(MATCH(25,DATA_1!A2:A40,0)),"",IF(INDIRECT("DATA_1!G"&amp;(MATCH(25,DATA_1!A2:A40,0))+1)=999.99,"OFF",INDIRECT("DATA_1!G"&amp;(MATCH(25,DATA_1!A2:A40,0))+1)))</f>
        <v>OFF</v>
      </c>
      <c r="G29" s="64" t="str">
        <f ca="1">IF(ISNA(MATCH(25,DATA_1!A2:A40,0)),"",IF(INDIRECT("DATA_1!H"&amp;(MATCH(25,DATA_1!A2:A40,0))+1)=999.99,"OFF",INDIRECT("DATA_1!H"&amp;(MATCH(25,DATA_1!A2:A40,0))+1)))</f>
        <v>OFF</v>
      </c>
      <c r="H29" s="103">
        <v>0.02</v>
      </c>
      <c r="I29" s="104"/>
    </row>
    <row r="30" spans="1:9" ht="22.35" customHeight="1" thickTop="1" thickBot="1" x14ac:dyDescent="0.25">
      <c r="A30" s="58">
        <v>26</v>
      </c>
      <c r="B30" s="83">
        <v>0.02</v>
      </c>
      <c r="C30" s="55">
        <v>0.02</v>
      </c>
      <c r="D30" s="55" t="str">
        <f ca="1">IF(ISNA(MATCH(26,DATA_1!A2:A40,0)),"",IF(INDIRECT("DATA_1!E"&amp;(MATCH(26,DATA_1!A2:A40,0))+1)=999.99,"OFF",INDIRECT("DATA_1!E"&amp;(MATCH(26,DATA_1!A2:A40,0))+1)))</f>
        <v>OFF</v>
      </c>
      <c r="E30" s="59" t="str">
        <f ca="1">IF(ISNA(MATCH(26,DATA_1!A2:A40,0)),"",IF(INDIRECT("DATA_1!F"&amp;(MATCH(26,DATA_1!A2:A40,0))+1)=999.99,"OFF",INDIRECT("DATA_1!F"&amp;(MATCH(26,DATA_1!A2:A40,0))+1)))</f>
        <v>OFF</v>
      </c>
      <c r="F30" s="30" t="str">
        <f ca="1">IF(ISNA(MATCH(26,DATA_1!A2:A40,0)),"",IF(INDIRECT("DATA_1!G"&amp;(MATCH(26,DATA_1!A2:A40,0))+1)=999.99,"OFF",INDIRECT("DATA_1!G"&amp;(MATCH(26,DATA_1!A2:A40,0))+1)))</f>
        <v>OFF</v>
      </c>
      <c r="G30" s="64" t="str">
        <f ca="1">IF(ISNA(MATCH(26,DATA_1!A2:A40,0)),"",IF(INDIRECT("DATA_1!H"&amp;(MATCH(26,DATA_1!A2:A40,0))+1)=999.99,"OFF",INDIRECT("DATA_1!H"&amp;(MATCH(26,DATA_1!A2:A40,0))+1)))</f>
        <v>OFF</v>
      </c>
      <c r="H30" s="103">
        <v>0.02</v>
      </c>
      <c r="I30" s="104"/>
    </row>
    <row r="31" spans="1:9" ht="22.35" customHeight="1" thickTop="1" thickBot="1" x14ac:dyDescent="0.25">
      <c r="A31" s="58">
        <v>27</v>
      </c>
      <c r="B31" s="83">
        <v>0.02</v>
      </c>
      <c r="C31" s="55" t="str">
        <f ca="1">IF(ISNA(MATCH(27,DATA_1!A2:A40,0)),"",IF(INDIRECT("DATA_1!D"&amp;(MATCH(27,DATA_1!A2:A40,0))+1)=999.99,"OFF",INDIRECT("DATA_1!D"&amp;(MATCH(27,DATA_1!A2:A40,0))+1)))</f>
        <v>OFF</v>
      </c>
      <c r="D31" s="55">
        <v>0.02</v>
      </c>
      <c r="E31" s="59">
        <v>0.02</v>
      </c>
      <c r="F31" s="30" t="str">
        <f ca="1">IF(ISNA(MATCH(27,DATA_1!A2:A40,0)),"",IF(INDIRECT("DATA_1!G"&amp;(MATCH(27,DATA_1!A2:A40,0))+1)=999.99,"OFF",INDIRECT("DATA_1!G"&amp;(MATCH(27,DATA_1!A2:A40,0))+1)))</f>
        <v>OFF</v>
      </c>
      <c r="G31" s="64" t="str">
        <f ca="1">IF(ISNA(MATCH(27,DATA_1!A2:A40,0)),"",IF(INDIRECT("DATA_1!H"&amp;(MATCH(27,DATA_1!A2:A40,0))+1)=999.99,"OFF",INDIRECT("DATA_1!H"&amp;(MATCH(27,DATA_1!A2:A40,0))+1)))</f>
        <v>OFF</v>
      </c>
      <c r="H31" s="103">
        <v>0.02</v>
      </c>
      <c r="I31" s="104"/>
    </row>
    <row r="32" spans="1:9" ht="22.35" customHeight="1" thickTop="1" thickBot="1" x14ac:dyDescent="0.25">
      <c r="A32" s="58">
        <v>28</v>
      </c>
      <c r="B32" s="83" t="str">
        <f ca="1">IF(ISNA(MATCH(28,DATA_1!A2:A40,0)),"",IF(INDIRECT("DATA_1!C"&amp;(MATCH(28,DATA_1!A2:A40,0))+1)=999.99,"OFF",INDIRECT("DATA_1!C"&amp;(MATCH(28,DATA_1!A2:A40,0))+1)))</f>
        <v>OFF</v>
      </c>
      <c r="C32" s="55">
        <v>0.02</v>
      </c>
      <c r="D32" s="55" t="str">
        <f ca="1">IF(ISNA(MATCH(28,DATA_1!A2:A40,0)),"",IF(INDIRECT("DATA_1!E"&amp;(MATCH(28,DATA_1!A2:A40,0))+1)=999.99,"OFF",INDIRECT("DATA_1!E"&amp;(MATCH(28,DATA_1!A2:A40,0))+1)))</f>
        <v>OFF</v>
      </c>
      <c r="E32" s="59" t="str">
        <f ca="1">IF(ISNA(MATCH(28,DATA_1!A2:A40,0)),"",IF(INDIRECT("DATA_1!F"&amp;(MATCH(28,DATA_1!A2:A40,0))+1)=999.99,"OFF",INDIRECT("DATA_1!F"&amp;(MATCH(28,DATA_1!A2:A40,0))+1)))</f>
        <v>OFF</v>
      </c>
      <c r="F32" s="30">
        <v>0.02</v>
      </c>
      <c r="G32" s="64">
        <v>0.02</v>
      </c>
      <c r="H32" s="103">
        <v>0.02</v>
      </c>
      <c r="I32" s="104"/>
    </row>
    <row r="33" spans="1:9" ht="22.35" customHeight="1" thickTop="1" thickBot="1" x14ac:dyDescent="0.25">
      <c r="A33" s="58">
        <v>29</v>
      </c>
      <c r="B33" s="83" t="str">
        <f ca="1">IF(ISNA(MATCH(29,DATA_1!A2:A40,0)),"",IF(INDIRECT("DATA_1!C"&amp;(MATCH(29,DATA_1!A2:A40,0))+1)=999.99,"OFF",INDIRECT("DATA_1!C"&amp;(MATCH(29,DATA_1!A2:A40,0))+1)))</f>
        <v>OFF</v>
      </c>
      <c r="C33" s="55" t="str">
        <f ca="1">IF(ISNA(MATCH(29,DATA_1!A2:A40,0)),"",IF(INDIRECT("DATA_1!D"&amp;(MATCH(29,DATA_1!A2:A40,0))+1)=999.99,"OFF",INDIRECT("DATA_1!D"&amp;(MATCH(29,DATA_1!A2:A40,0))+1)))</f>
        <v>OFF</v>
      </c>
      <c r="D33" s="55" t="str">
        <f ca="1">IF(ISNA(MATCH(29,DATA_1!A2:A40,0)),"",IF(INDIRECT("DATA_1!E"&amp;(MATCH(29,DATA_1!A2:A40,0))+1)=999.99,"OFF",INDIRECT("DATA_1!E"&amp;(MATCH(29,DATA_1!A2:A40,0))+1)))</f>
        <v>OFF</v>
      </c>
      <c r="E33" s="59">
        <v>0.02</v>
      </c>
      <c r="F33" s="30">
        <v>0.02</v>
      </c>
      <c r="G33" s="64" t="str">
        <f ca="1">IF(ISNA(MATCH(29,DATA_1!A2:A40,0)),"",IF(INDIRECT("DATA_1!H"&amp;(MATCH(29,DATA_1!A2:A40,0))+1)=999.99,"OFF",INDIRECT("DATA_1!H"&amp;(MATCH(29,DATA_1!A2:A40,0))+1)))</f>
        <v>OFF</v>
      </c>
      <c r="H33" s="103">
        <v>0.02</v>
      </c>
      <c r="I33" s="104"/>
    </row>
    <row r="34" spans="1:9" ht="22.35" customHeight="1" thickTop="1" thickBot="1" x14ac:dyDescent="0.25">
      <c r="A34" s="58">
        <v>30</v>
      </c>
      <c r="B34" s="83" t="str">
        <f ca="1">IF(ISNA(MATCH(30,DATA_1!A2:A40,0)),"",IF(INDIRECT("DATA_1!C"&amp;(MATCH(30,DATA_1!A2:A40,0))+1)=999.99,"OFF",INDIRECT("DATA_1!C"&amp;(MATCH(30,DATA_1!A2:A40,0))+1)))</f>
        <v>OFF</v>
      </c>
      <c r="C34" s="55" t="str">
        <f ca="1">IF(ISNA(MATCH(30,DATA_1!A2:A40,0)),"",IF(INDIRECT("DATA_1!D"&amp;(MATCH(30,DATA_1!A2:A40,0))+1)=999.99,"OFF",INDIRECT("DATA_1!D"&amp;(MATCH(30,DATA_1!A2:A40,0))+1)))</f>
        <v>OFF</v>
      </c>
      <c r="D34" s="55">
        <v>0.02</v>
      </c>
      <c r="E34" s="59" t="str">
        <f ca="1">IF(ISNA(MATCH(30,DATA_1!A2:A40,0)),"",IF(INDIRECT("DATA_1!F"&amp;(MATCH(30,DATA_1!A2:A40,0))+1)=999.99,"OFF",INDIRECT("DATA_1!F"&amp;(MATCH(30,DATA_1!A2:A40,0))+1)))</f>
        <v>OFF</v>
      </c>
      <c r="F34" s="30">
        <v>0.02</v>
      </c>
      <c r="G34" s="64" t="str">
        <f ca="1">IF(ISNA(MATCH(30,DATA_1!A2:A40,0)),"",IF(INDIRECT("DATA_1!H"&amp;(MATCH(30,DATA_1!A2:A40,0))+1)=999.99,"OFF",INDIRECT("DATA_1!H"&amp;(MATCH(30,DATA_1!A2:A40,0))+1)))</f>
        <v>OFF</v>
      </c>
      <c r="H34" s="103">
        <v>0.02</v>
      </c>
      <c r="I34" s="104"/>
    </row>
    <row r="35" spans="1:9" ht="22.35" customHeight="1" thickTop="1" thickBot="1" x14ac:dyDescent="0.25">
      <c r="A35" s="2">
        <v>31</v>
      </c>
      <c r="B35" s="83" t="str">
        <f ca="1">IF(ISNA(MATCH(31,DATA_1!A2:A40,0)),"",IF(INDIRECT("DATA_1!C"&amp;(MATCH(31,DATA_1!A2:A40,0))+1)=999.99,"OFF",INDIRECT("DATA_1!C"&amp;(MATCH(31,DATA_1!A2:A40,0))+1)))</f>
        <v>OFF</v>
      </c>
      <c r="C35" s="55" t="str">
        <f ca="1">IF(ISNA(MATCH(31,DATA_1!A2:A40,0)),"",IF(INDIRECT("DATA_1!D"&amp;(MATCH(31,DATA_1!A2:A40,0))+1)=999.99,"OFF",INDIRECT("DATA_1!D"&amp;(MATCH(31,DATA_1!A2:A40,0))+1)))</f>
        <v>OFF</v>
      </c>
      <c r="D35" s="55">
        <v>0.02</v>
      </c>
      <c r="E35" s="59">
        <v>0.02</v>
      </c>
      <c r="F35" s="30">
        <v>0.02</v>
      </c>
      <c r="G35" s="64" t="str">
        <f ca="1">IF(ISNA(MATCH(31,DATA_1!A2:A40,0)),"",IF(INDIRECT("DATA_1!H"&amp;(MATCH(31,DATA_1!A2:A40,0))+1)=999.99,"OFF",INDIRECT("DATA_1!H"&amp;(MATCH(31,DATA_1!A2:A40,0))+1)))</f>
        <v>OFF</v>
      </c>
      <c r="H35" s="115">
        <v>0.02</v>
      </c>
      <c r="I35" s="116"/>
    </row>
    <row r="36" spans="1:9" s="65" customFormat="1" ht="20.85" customHeight="1" thickTop="1" thickBot="1" x14ac:dyDescent="0.3">
      <c r="A36" s="117" t="s">
        <v>47</v>
      </c>
      <c r="B36" s="118"/>
      <c r="C36" s="119"/>
      <c r="D36" s="119"/>
      <c r="E36" s="120"/>
      <c r="F36" s="121" t="s">
        <v>20</v>
      </c>
      <c r="G36" s="122"/>
      <c r="H36" s="122"/>
      <c r="I36" s="123"/>
    </row>
    <row r="37" spans="1:9" s="82" customFormat="1" ht="36.950000000000003" customHeight="1" thickTop="1" x14ac:dyDescent="0.2">
      <c r="A37" s="124" t="s">
        <v>5</v>
      </c>
      <c r="B37" s="125"/>
      <c r="C37" s="125"/>
      <c r="D37" s="125"/>
      <c r="E37" s="57" t="s">
        <v>74</v>
      </c>
      <c r="F37" s="126" t="s">
        <v>37</v>
      </c>
      <c r="G37" s="126"/>
      <c r="H37" s="126" t="s">
        <v>67</v>
      </c>
      <c r="I37" s="126"/>
    </row>
    <row r="38" spans="1:9" s="82" customFormat="1" ht="15" x14ac:dyDescent="0.2">
      <c r="A38" s="105" t="s">
        <v>30</v>
      </c>
      <c r="B38" s="106"/>
      <c r="C38" s="106"/>
      <c r="D38" s="106"/>
      <c r="E38" s="25" t="s">
        <v>74</v>
      </c>
      <c r="F38" s="107" t="s">
        <v>74</v>
      </c>
      <c r="G38" s="108"/>
      <c r="H38" s="107" t="s">
        <v>74</v>
      </c>
      <c r="I38" s="111"/>
    </row>
    <row r="39" spans="1:9" s="82" customFormat="1" ht="22.5" customHeight="1" thickBot="1" x14ac:dyDescent="0.25">
      <c r="A39" s="113" t="s">
        <v>33</v>
      </c>
      <c r="B39" s="114"/>
      <c r="C39" s="114"/>
      <c r="D39" s="114"/>
      <c r="E39" s="48" t="s">
        <v>74</v>
      </c>
      <c r="F39" s="109"/>
      <c r="G39" s="110"/>
      <c r="H39" s="109"/>
      <c r="I39" s="112"/>
    </row>
    <row r="40" spans="1:9" s="65" customFormat="1" ht="20.25" customHeight="1" thickTop="1" thickBot="1" x14ac:dyDescent="0.3">
      <c r="A40" s="128" t="s">
        <v>2</v>
      </c>
      <c r="B40" s="129"/>
      <c r="C40" s="129"/>
      <c r="D40" s="129"/>
      <c r="E40" s="130"/>
      <c r="F40" s="135" t="s">
        <v>75</v>
      </c>
      <c r="G40" s="136"/>
      <c r="H40" s="136"/>
      <c r="I40" s="137"/>
    </row>
    <row r="41" spans="1:9" s="65" customFormat="1" ht="20.25" customHeight="1" thickTop="1" thickBot="1" x14ac:dyDescent="0.3">
      <c r="A41" s="128"/>
      <c r="B41" s="131"/>
      <c r="C41" s="131"/>
      <c r="D41" s="131"/>
      <c r="E41" s="130"/>
      <c r="F41" s="135" t="s">
        <v>76</v>
      </c>
      <c r="G41" s="136"/>
      <c r="H41" s="137"/>
      <c r="I41" s="38" t="s">
        <v>78</v>
      </c>
    </row>
    <row r="42" spans="1:9" s="65" customFormat="1" ht="21" customHeight="1" thickTop="1" thickBot="1" x14ac:dyDescent="0.3">
      <c r="A42" s="132"/>
      <c r="B42" s="133"/>
      <c r="C42" s="133"/>
      <c r="D42" s="133"/>
      <c r="E42" s="134"/>
      <c r="F42" s="135" t="s">
        <v>77</v>
      </c>
      <c r="G42" s="136"/>
      <c r="H42" s="137"/>
      <c r="I42" s="38" t="s">
        <v>79</v>
      </c>
    </row>
    <row r="43" spans="1:9" s="23" customFormat="1" ht="14.25" customHeight="1" thickTop="1" x14ac:dyDescent="0.2">
      <c r="A43" s="138" t="s">
        <v>62</v>
      </c>
      <c r="B43" s="138"/>
      <c r="C43" s="138"/>
      <c r="D43" s="138"/>
      <c r="E43" s="138"/>
      <c r="F43" s="138"/>
      <c r="G43" s="138"/>
      <c r="H43" s="138"/>
      <c r="I43" s="138"/>
    </row>
    <row r="44" spans="1:9" s="23" customFormat="1" ht="18.75" customHeight="1" x14ac:dyDescent="0.2">
      <c r="A44" s="139" t="s">
        <v>9</v>
      </c>
      <c r="B44" s="139"/>
      <c r="C44" s="139"/>
      <c r="D44" s="139"/>
      <c r="E44" s="139"/>
      <c r="F44" s="139"/>
      <c r="G44" s="139"/>
      <c r="H44" s="139"/>
      <c r="I44" s="139"/>
    </row>
    <row r="45" spans="1:9" ht="12.75" customHeight="1" x14ac:dyDescent="0.2">
      <c r="A45" s="127" t="s">
        <v>51</v>
      </c>
      <c r="B45" s="127"/>
      <c r="C45" s="127"/>
      <c r="D45" s="127"/>
      <c r="E45" s="127"/>
      <c r="F45" s="127"/>
      <c r="G45" s="127"/>
      <c r="H45" s="127"/>
      <c r="I45" s="127"/>
    </row>
    <row r="46" spans="1:9" ht="21" customHeight="1" x14ac:dyDescent="0.2">
      <c r="A46" s="140" t="s">
        <v>27</v>
      </c>
      <c r="B46" s="140"/>
      <c r="C46" s="140"/>
      <c r="D46" s="140"/>
      <c r="E46" s="140"/>
      <c r="F46" s="140"/>
      <c r="G46" s="140"/>
      <c r="H46" s="11" t="s">
        <v>28</v>
      </c>
      <c r="I46" s="26" t="s">
        <v>80</v>
      </c>
    </row>
    <row r="47" spans="1:9" ht="25.5" x14ac:dyDescent="0.2">
      <c r="A47" s="14" t="s">
        <v>18</v>
      </c>
      <c r="B47" s="98" t="s">
        <v>13</v>
      </c>
      <c r="C47" s="98"/>
      <c r="D47" s="8" t="s">
        <v>0</v>
      </c>
      <c r="E47" s="32"/>
      <c r="F47" s="8" t="s">
        <v>4</v>
      </c>
      <c r="G47" s="8" t="s">
        <v>16</v>
      </c>
      <c r="H47" s="50" t="s">
        <v>69</v>
      </c>
      <c r="I47" s="28">
        <v>0.5</v>
      </c>
    </row>
    <row r="48" spans="1:9" x14ac:dyDescent="0.2">
      <c r="A48" s="88"/>
      <c r="B48" s="72"/>
      <c r="C48" s="72"/>
      <c r="D48" s="72"/>
      <c r="E48" s="72"/>
      <c r="F48" s="72"/>
      <c r="G48" s="72"/>
      <c r="H48" s="72"/>
      <c r="I48" s="4"/>
    </row>
    <row r="49" spans="1:9" ht="48.6" customHeight="1" x14ac:dyDescent="0.2">
      <c r="A49" s="60" t="s">
        <v>29</v>
      </c>
      <c r="B49" s="85" t="s">
        <v>50</v>
      </c>
      <c r="C49" s="67" t="s">
        <v>8</v>
      </c>
      <c r="D49" s="67" t="s">
        <v>10</v>
      </c>
      <c r="E49" s="67" t="s">
        <v>39</v>
      </c>
      <c r="F49" s="67" t="s">
        <v>70</v>
      </c>
      <c r="G49" s="67" t="s">
        <v>34</v>
      </c>
      <c r="H49" s="67" t="s">
        <v>40</v>
      </c>
      <c r="I49" s="61" t="s">
        <v>14</v>
      </c>
    </row>
    <row r="50" spans="1:9" ht="15.75" thickBot="1" x14ac:dyDescent="0.25">
      <c r="A50" s="87"/>
      <c r="B50" s="39" t="s">
        <v>56</v>
      </c>
      <c r="C50" s="39" t="s">
        <v>64</v>
      </c>
      <c r="D50" s="93" t="s">
        <v>17</v>
      </c>
      <c r="E50" s="39" t="s">
        <v>11</v>
      </c>
      <c r="F50" s="39"/>
      <c r="G50" s="39" t="s">
        <v>35</v>
      </c>
      <c r="H50" s="39" t="s">
        <v>32</v>
      </c>
      <c r="I50" s="69" t="s">
        <v>49</v>
      </c>
    </row>
    <row r="51" spans="1:9" ht="24.95" customHeight="1" thickTop="1" thickBot="1" x14ac:dyDescent="0.25">
      <c r="A51" s="20" t="str">
        <f ca="1">IF(ISNA(MATCH(1,DATA_1!A2:A40,0)),"1","1 / " &amp; (INDIRECT("DATA_1!R"&amp;(MATCH(1,DATA_1!A2:A40,0))+1)) &amp; ":00")</f>
        <v>1 / 12:00</v>
      </c>
      <c r="B51" s="73">
        <f ca="1">IF(ISNA(MATCH(1,DATA_1!A2:A40,0)),"",INDIRECT("DATA_1!T"&amp;(MATCH(1,DATA_1!A2:A40,0))+1))</f>
        <v>0.75</v>
      </c>
      <c r="C51" s="27">
        <v>111</v>
      </c>
      <c r="D51" s="75">
        <f t="shared" ref="D51:D81" ca="1" si="0">IF(B51="","",B51*C51)</f>
        <v>83.25</v>
      </c>
      <c r="E51" s="62">
        <v>11.3</v>
      </c>
      <c r="F51" s="30">
        <v>7.24</v>
      </c>
      <c r="G51" s="3">
        <f t="shared" ref="G51:G81" ca="1" si="1">IF(B51="","",IF(E51&lt;12.5,(0.353*$I$47)*(12.006+EXP(2.46-0.073*E51+0.125*B51+0.389*F51)),(0.361*$I$47)*(-2.261+EXP(2.69-0.065*E51+0.111*B51+0.361*F51))))</f>
        <v>18.741864825176375</v>
      </c>
      <c r="H51" s="31" t="str">
        <f t="shared" ref="H51:H81" ca="1" si="2">IF(D51&gt;G51,"YES","NO")</f>
        <v>YES</v>
      </c>
      <c r="I51" s="89">
        <v>810</v>
      </c>
    </row>
    <row r="52" spans="1:9" ht="24.95" customHeight="1" thickTop="1" thickBot="1" x14ac:dyDescent="0.25">
      <c r="A52" s="20" t="str">
        <f ca="1">IF(ISNA(MATCH(2,DATA_1!A2:A40,0)),"2","2 / " &amp; (INDIRECT("DATA_1!R"&amp;(MATCH(2,DATA_1!A2:A40,0))+1)) &amp; ":00")</f>
        <v>2 / 8:00</v>
      </c>
      <c r="B52" s="73">
        <f ca="1">IF(ISNA(MATCH(2,DATA_1!A2:A40,0)),"",INDIRECT("DATA_1!T"&amp;(MATCH(2,DATA_1!A2:A40,0))+1))</f>
        <v>0.81</v>
      </c>
      <c r="C52" s="70">
        <v>111</v>
      </c>
      <c r="D52" s="6">
        <f t="shared" ca="1" si="0"/>
        <v>89.910000000000011</v>
      </c>
      <c r="E52" s="34">
        <v>11.9</v>
      </c>
      <c r="F52" s="77">
        <v>7.19</v>
      </c>
      <c r="G52" s="3">
        <f t="shared" ca="1" si="1"/>
        <v>17.84050232558835</v>
      </c>
      <c r="H52" s="47" t="str">
        <f t="shared" ca="1" si="2"/>
        <v>YES</v>
      </c>
      <c r="I52" s="46">
        <v>810</v>
      </c>
    </row>
    <row r="53" spans="1:9" ht="24.95" customHeight="1" thickTop="1" thickBot="1" x14ac:dyDescent="0.25">
      <c r="A53" s="20" t="str">
        <f ca="1">IF(ISNA(MATCH(3,DATA_1!A2:A40,0)),"3","3 / " &amp; (INDIRECT("DATA_1!R"&amp;(MATCH(3,DATA_1!A2:A40,0))+1)) &amp; ":00")</f>
        <v>3 / 8:00</v>
      </c>
      <c r="B53" s="73">
        <f ca="1">IF(ISNA(MATCH(3,DATA_1!A2:A40,0)),"",INDIRECT("DATA_1!T"&amp;(MATCH(3,DATA_1!A2:A40,0))+1))</f>
        <v>0.81</v>
      </c>
      <c r="C53" s="70">
        <v>111</v>
      </c>
      <c r="D53" s="6">
        <f t="shared" ca="1" si="0"/>
        <v>89.910000000000011</v>
      </c>
      <c r="E53" s="34">
        <v>11.5</v>
      </c>
      <c r="F53" s="77">
        <v>7.16</v>
      </c>
      <c r="G53" s="3">
        <f t="shared" ca="1" si="1"/>
        <v>18.118529011200877</v>
      </c>
      <c r="H53" s="47" t="str">
        <f t="shared" ca="1" si="2"/>
        <v>YES</v>
      </c>
      <c r="I53" s="46">
        <v>811</v>
      </c>
    </row>
    <row r="54" spans="1:9" ht="24.95" customHeight="1" thickTop="1" thickBot="1" x14ac:dyDescent="0.25">
      <c r="A54" s="20" t="str">
        <f ca="1">IF(ISNA(MATCH(4,DATA_1!A2:A40,0)),"4","4 / " &amp; (INDIRECT("DATA_1!R"&amp;(MATCH(4,DATA_1!A2:A40,0))+1)) &amp; ":00")</f>
        <v>4 / 8:00</v>
      </c>
      <c r="B54" s="73">
        <f ca="1">IF(ISNA(MATCH(4,DATA_1!A2:A40,0)),"",INDIRECT("DATA_1!T"&amp;(MATCH(4,DATA_1!A2:A40,0))+1))</f>
        <v>0.82</v>
      </c>
      <c r="C54" s="70">
        <v>111</v>
      </c>
      <c r="D54" s="6">
        <f t="shared" ca="1" si="0"/>
        <v>91.02</v>
      </c>
      <c r="E54" s="34">
        <v>11.4</v>
      </c>
      <c r="F54" s="77">
        <v>7.18</v>
      </c>
      <c r="G54" s="3">
        <f t="shared" ca="1" si="1"/>
        <v>18.381945296736948</v>
      </c>
      <c r="H54" s="47" t="str">
        <f t="shared" ca="1" si="2"/>
        <v>YES</v>
      </c>
      <c r="I54" s="46">
        <v>763</v>
      </c>
    </row>
    <row r="55" spans="1:9" ht="24.95" customHeight="1" thickTop="1" thickBot="1" x14ac:dyDescent="0.25">
      <c r="A55" s="20" t="str">
        <f ca="1">IF(ISNA(MATCH(5,DATA_1!A2:A40,0)),"5","5 / " &amp; (INDIRECT("DATA_1!R"&amp;(MATCH(5,DATA_1!A2:A40,0))+1)) &amp; ":00")</f>
        <v>5 / 20:00</v>
      </c>
      <c r="B55" s="73">
        <f ca="1">IF(ISNA(MATCH(5,DATA_1!A2:A40,0)),"",INDIRECT("DATA_1!T"&amp;(MATCH(5,DATA_1!A2:A40,0))+1))</f>
        <v>0.8</v>
      </c>
      <c r="C55" s="70">
        <v>111</v>
      </c>
      <c r="D55" s="6">
        <f t="shared" ca="1" si="0"/>
        <v>88.800000000000011</v>
      </c>
      <c r="E55" s="34">
        <v>11.5</v>
      </c>
      <c r="F55" s="77">
        <v>7.24</v>
      </c>
      <c r="G55" s="3">
        <f t="shared" ca="1" si="1"/>
        <v>18.603642278768262</v>
      </c>
      <c r="H55" s="47" t="str">
        <f t="shared" ca="1" si="2"/>
        <v>YES</v>
      </c>
      <c r="I55" s="46">
        <v>849</v>
      </c>
    </row>
    <row r="56" spans="1:9" ht="24.95" customHeight="1" thickTop="1" thickBot="1" x14ac:dyDescent="0.25">
      <c r="A56" s="20" t="str">
        <f ca="1">IF(ISNA(MATCH(6,DATA_1!A2:A40,0)),"6","6 / " &amp; (INDIRECT("DATA_1!R"&amp;(MATCH(6,DATA_1!A2:A40,0))+1)) &amp; ":00")</f>
        <v>6 / 8:00</v>
      </c>
      <c r="B56" s="73">
        <f ca="1">IF(ISNA(MATCH(6,DATA_1!A2:A40,0)),"",INDIRECT("DATA_1!T"&amp;(MATCH(6,DATA_1!A2:A40,0))+1))</f>
        <v>0.77</v>
      </c>
      <c r="C56" s="27">
        <v>111</v>
      </c>
      <c r="D56" s="6">
        <f t="shared" ca="1" si="0"/>
        <v>85.47</v>
      </c>
      <c r="E56" s="34">
        <v>11.8</v>
      </c>
      <c r="F56" s="77">
        <v>7.15</v>
      </c>
      <c r="G56" s="3">
        <f t="shared" ca="1" si="1"/>
        <v>17.633412030090447</v>
      </c>
      <c r="H56" s="47" t="str">
        <f t="shared" ca="1" si="2"/>
        <v>YES</v>
      </c>
      <c r="I56" s="46">
        <v>818</v>
      </c>
    </row>
    <row r="57" spans="1:9" ht="24.95" customHeight="1" thickTop="1" thickBot="1" x14ac:dyDescent="0.25">
      <c r="A57" s="20" t="str">
        <f ca="1">IF(ISNA(MATCH(7,DATA_1!A2:A40,0)),"7","7 / " &amp; (INDIRECT("DATA_1!R"&amp;(MATCH(7,DATA_1!A2:A40,0))+1)) &amp; ":00")</f>
        <v>7 / 4:00</v>
      </c>
      <c r="B57" s="73">
        <f ca="1">IF(ISNA(MATCH(7,DATA_1!A2:A40,0)),"",INDIRECT("DATA_1!T"&amp;(MATCH(7,DATA_1!A2:A40,0))+1))</f>
        <v>0.77</v>
      </c>
      <c r="C57" s="70">
        <v>111</v>
      </c>
      <c r="D57" s="6">
        <f t="shared" ca="1" si="0"/>
        <v>85.47</v>
      </c>
      <c r="E57" s="34">
        <v>12.4</v>
      </c>
      <c r="F57" s="77">
        <v>7.24</v>
      </c>
      <c r="G57" s="3">
        <f t="shared" ca="1" si="1"/>
        <v>17.497638465970983</v>
      </c>
      <c r="H57" s="47" t="str">
        <f t="shared" ca="1" si="2"/>
        <v>YES</v>
      </c>
      <c r="I57" s="46">
        <v>898</v>
      </c>
    </row>
    <row r="58" spans="1:9" ht="24.95" customHeight="1" thickTop="1" thickBot="1" x14ac:dyDescent="0.25">
      <c r="A58" s="20" t="str">
        <f ca="1">IF(ISNA(MATCH(8,DATA_1!A2:A40,0)),"8","8 / " &amp; (INDIRECT("DATA_1!R"&amp;(MATCH(8,DATA_1!A2:A40,0))+1)) &amp; ":00")</f>
        <v>8 / 4:00</v>
      </c>
      <c r="B58" s="73">
        <f ca="1">IF(ISNA(MATCH(8,DATA_1!A2:A40,0)),"",INDIRECT("DATA_1!T"&amp;(MATCH(8,DATA_1!A2:A40,0))+1))</f>
        <v>0.8</v>
      </c>
      <c r="C58" s="70">
        <v>111</v>
      </c>
      <c r="D58" s="6">
        <f t="shared" ca="1" si="0"/>
        <v>88.800000000000011</v>
      </c>
      <c r="E58" s="34">
        <v>12.6</v>
      </c>
      <c r="F58" s="77">
        <v>7.45</v>
      </c>
      <c r="G58" s="3">
        <f t="shared" ca="1" si="1"/>
        <v>18.455326512241694</v>
      </c>
      <c r="H58" s="47" t="str">
        <f t="shared" ca="1" si="2"/>
        <v>YES</v>
      </c>
      <c r="I58" s="46">
        <v>855</v>
      </c>
    </row>
    <row r="59" spans="1:9" ht="24.95" customHeight="1" thickTop="1" thickBot="1" x14ac:dyDescent="0.25">
      <c r="A59" s="20" t="str">
        <f ca="1">IF(ISNA(MATCH(9,DATA_1!A2:A40,0)),"9","9 / " &amp; (INDIRECT("DATA_1!R"&amp;(MATCH(9,DATA_1!A2:A40,0))+1)) &amp; ":00")</f>
        <v>9 / 8:00</v>
      </c>
      <c r="B59" s="73">
        <f ca="1">IF(ISNA(MATCH(9,DATA_1!A2:A40,0)),"",INDIRECT("DATA_1!T"&amp;(MATCH(9,DATA_1!A2:A40,0))+1))</f>
        <v>0.79</v>
      </c>
      <c r="C59" s="70">
        <v>111</v>
      </c>
      <c r="D59" s="6">
        <f t="shared" ca="1" si="0"/>
        <v>87.69</v>
      </c>
      <c r="E59" s="34">
        <v>13</v>
      </c>
      <c r="F59" s="77">
        <v>7.48</v>
      </c>
      <c r="G59" s="3">
        <f t="shared" ca="1" si="1"/>
        <v>18.150716014891017</v>
      </c>
      <c r="H59" s="47" t="str">
        <f t="shared" ca="1" si="2"/>
        <v>YES</v>
      </c>
      <c r="I59" s="46">
        <v>892</v>
      </c>
    </row>
    <row r="60" spans="1:9" ht="24.95" customHeight="1" thickTop="1" thickBot="1" x14ac:dyDescent="0.25">
      <c r="A60" s="20" t="str">
        <f ca="1">IF(ISNA(MATCH(10,DATA_1!A2:A40,0)),"10","10 / " &amp; (INDIRECT("DATA_1!R"&amp;(MATCH(10,DATA_1!A2:A40,0))+1)) &amp; ":00")</f>
        <v>10 / 12:00</v>
      </c>
      <c r="B60" s="73">
        <f ca="1">IF(ISNA(MATCH(10,DATA_1!A2:A40,0)),"",INDIRECT("DATA_1!T"&amp;(MATCH(10,DATA_1!A2:A40,0))+1))</f>
        <v>0.79</v>
      </c>
      <c r="C60" s="70">
        <v>111</v>
      </c>
      <c r="D60" s="6">
        <f t="shared" ca="1" si="0"/>
        <v>87.69</v>
      </c>
      <c r="E60" s="34">
        <v>13.4</v>
      </c>
      <c r="F60" s="77">
        <v>7.57</v>
      </c>
      <c r="G60" s="3">
        <f t="shared" ca="1" si="1"/>
        <v>18.271554495699093</v>
      </c>
      <c r="H60" s="47" t="str">
        <f t="shared" ca="1" si="2"/>
        <v>YES</v>
      </c>
      <c r="I60" s="46">
        <v>868</v>
      </c>
    </row>
    <row r="61" spans="1:9" ht="24.95" customHeight="1" thickTop="1" thickBot="1" x14ac:dyDescent="0.25">
      <c r="A61" s="20" t="str">
        <f ca="1">IF(ISNA(MATCH(11,DATA_1!A2:A40,0)),"11","11 / " &amp; (INDIRECT("DATA_1!R"&amp;(MATCH(11,DATA_1!A2:A40,0))+1)) &amp; ":00")</f>
        <v>11 / 12:00</v>
      </c>
      <c r="B61" s="73">
        <v>0.8</v>
      </c>
      <c r="C61" s="27">
        <v>111</v>
      </c>
      <c r="D61" s="6">
        <f t="shared" si="0"/>
        <v>88.800000000000011</v>
      </c>
      <c r="E61" s="34">
        <v>13.5</v>
      </c>
      <c r="F61" s="77">
        <v>7.58</v>
      </c>
      <c r="G61" s="3">
        <f t="shared" si="1"/>
        <v>18.238334266781731</v>
      </c>
      <c r="H61" s="47" t="str">
        <f t="shared" si="2"/>
        <v>YES</v>
      </c>
      <c r="I61" s="46">
        <v>873</v>
      </c>
    </row>
    <row r="62" spans="1:9" ht="24.95" customHeight="1" thickTop="1" thickBot="1" x14ac:dyDescent="0.25">
      <c r="A62" s="20" t="str">
        <f ca="1">IF(ISNA(MATCH(12,DATA_1!A2:A40,0)),"12","12 / " &amp; (INDIRECT("DATA_1!R"&amp;(MATCH(12,DATA_1!A2:A40,0))+1)) &amp; ":00")</f>
        <v>12 / 8:00</v>
      </c>
      <c r="B62" s="73">
        <f ca="1">IF(ISNA(MATCH(12,DATA_1!A2:A40,0)),"",INDIRECT("DATA_1!T"&amp;(MATCH(12,DATA_1!A2:A40,0))+1))</f>
        <v>0.81</v>
      </c>
      <c r="C62" s="70">
        <v>111</v>
      </c>
      <c r="D62" s="6">
        <f t="shared" ca="1" si="0"/>
        <v>89.910000000000011</v>
      </c>
      <c r="E62" s="34">
        <v>13.7</v>
      </c>
      <c r="F62" s="77">
        <v>7.62</v>
      </c>
      <c r="G62" s="3">
        <f t="shared" ca="1" si="1"/>
        <v>18.285943376754062</v>
      </c>
      <c r="H62" s="47" t="str">
        <f t="shared" ca="1" si="2"/>
        <v>YES</v>
      </c>
      <c r="I62" s="46">
        <v>833</v>
      </c>
    </row>
    <row r="63" spans="1:9" ht="24.95" customHeight="1" thickTop="1" thickBot="1" x14ac:dyDescent="0.25">
      <c r="A63" s="20" t="str">
        <f ca="1">IF(ISNA(MATCH(13,DATA_1!A2:A40,0)),"13","13 / " &amp; (INDIRECT("DATA_1!R"&amp;(MATCH(13,DATA_1!A2:A40,0))+1)) &amp; ":00")</f>
        <v>13 / 8:00</v>
      </c>
      <c r="B63" s="73">
        <v>0.79</v>
      </c>
      <c r="C63" s="70">
        <v>111</v>
      </c>
      <c r="D63" s="6">
        <f t="shared" si="0"/>
        <v>87.69</v>
      </c>
      <c r="E63" s="34">
        <v>13.5</v>
      </c>
      <c r="F63" s="77">
        <v>7.57</v>
      </c>
      <c r="G63" s="3">
        <f t="shared" si="1"/>
        <v>18.150530427553797</v>
      </c>
      <c r="H63" s="47" t="str">
        <f t="shared" si="2"/>
        <v>YES</v>
      </c>
      <c r="I63" s="46">
        <v>840</v>
      </c>
    </row>
    <row r="64" spans="1:9" ht="24.95" customHeight="1" thickTop="1" thickBot="1" x14ac:dyDescent="0.25">
      <c r="A64" s="20" t="str">
        <f ca="1">IF(ISNA(MATCH(14,DATA_1!A2:A40,0)),"14","14 / " &amp; (INDIRECT("DATA_1!R"&amp;(MATCH(14,DATA_1!A2:A40,0))+1)) &amp; ":00")</f>
        <v>14 / 8:00</v>
      </c>
      <c r="B64" s="73">
        <f ca="1">IF(ISNA(MATCH(14,DATA_1!A2:A40,0)),"",INDIRECT("DATA_1!T"&amp;(MATCH(14,DATA_1!A2:A40,0))+1))</f>
        <v>0.79</v>
      </c>
      <c r="C64" s="70">
        <v>111</v>
      </c>
      <c r="D64" s="6">
        <f t="shared" ca="1" si="0"/>
        <v>87.69</v>
      </c>
      <c r="E64" s="34">
        <v>13.4</v>
      </c>
      <c r="F64" s="77">
        <v>7.5</v>
      </c>
      <c r="G64" s="3">
        <f t="shared" ca="1" si="1"/>
        <v>17.805433602822813</v>
      </c>
      <c r="H64" s="47" t="str">
        <f t="shared" ca="1" si="2"/>
        <v>YES</v>
      </c>
      <c r="I64" s="46">
        <v>858</v>
      </c>
    </row>
    <row r="65" spans="1:9" ht="24.95" customHeight="1" thickTop="1" thickBot="1" x14ac:dyDescent="0.25">
      <c r="A65" s="20" t="str">
        <f ca="1">IF(ISNA(MATCH(15,DATA_1!A2:A40,0)),"15","15 / " &amp; (INDIRECT("DATA_1!R"&amp;(MATCH(15,DATA_1!A2:A40,0))+1)) &amp; ":00")</f>
        <v>15 / 12:00</v>
      </c>
      <c r="B65" s="73">
        <v>0.77</v>
      </c>
      <c r="C65" s="70">
        <v>111</v>
      </c>
      <c r="D65" s="6">
        <f t="shared" si="0"/>
        <v>85.47</v>
      </c>
      <c r="E65" s="34">
        <v>13.5</v>
      </c>
      <c r="F65" s="77">
        <v>7.6</v>
      </c>
      <c r="G65" s="3">
        <f t="shared" si="1"/>
        <v>18.31101019996963</v>
      </c>
      <c r="H65" s="47" t="str">
        <f t="shared" si="2"/>
        <v>YES</v>
      </c>
      <c r="I65" s="46">
        <v>812</v>
      </c>
    </row>
    <row r="66" spans="1:9" ht="24.95" customHeight="1" thickTop="1" thickBot="1" x14ac:dyDescent="0.25">
      <c r="A66" s="20" t="s">
        <v>22</v>
      </c>
      <c r="B66" s="73">
        <v>0.77</v>
      </c>
      <c r="C66" s="27">
        <v>111</v>
      </c>
      <c r="D66" s="6">
        <f t="shared" si="0"/>
        <v>85.47</v>
      </c>
      <c r="E66" s="34">
        <v>13.3</v>
      </c>
      <c r="F66" s="77">
        <v>7.5</v>
      </c>
      <c r="G66" s="3">
        <f t="shared" si="1"/>
        <v>17.883554631329588</v>
      </c>
      <c r="H66" s="47" t="str">
        <f t="shared" si="2"/>
        <v>YES</v>
      </c>
      <c r="I66" s="46">
        <v>811</v>
      </c>
    </row>
    <row r="67" spans="1:9" ht="24.95" customHeight="1" thickTop="1" thickBot="1" x14ac:dyDescent="0.25">
      <c r="A67" s="20" t="str">
        <f ca="1">IF(ISNA(MATCH(17,DATA_1!A2:A40,0)),"17","17 / " &amp; (INDIRECT("DATA_1!R"&amp;(MATCH(17,DATA_1!A2:A40,0))+1)) &amp; ":00")</f>
        <v>17 / 4:00</v>
      </c>
      <c r="B67" s="73">
        <f ca="1">IF(ISNA(MATCH(17,DATA_1!A2:A40,0)),"",INDIRECT("DATA_1!T"&amp;(MATCH(17,DATA_1!A2:A40,0))+1))</f>
        <v>0.77</v>
      </c>
      <c r="C67" s="70">
        <v>111</v>
      </c>
      <c r="D67" s="6">
        <f t="shared" ca="1" si="0"/>
        <v>85.47</v>
      </c>
      <c r="E67" s="34">
        <v>13.3</v>
      </c>
      <c r="F67" s="77">
        <v>7.44</v>
      </c>
      <c r="G67" s="3">
        <f t="shared" ca="1" si="1"/>
        <v>17.491617170470814</v>
      </c>
      <c r="H67" s="47" t="str">
        <f t="shared" ca="1" si="2"/>
        <v>YES</v>
      </c>
      <c r="I67" s="46">
        <v>870</v>
      </c>
    </row>
    <row r="68" spans="1:9" ht="24.95" customHeight="1" thickTop="1" thickBot="1" x14ac:dyDescent="0.25">
      <c r="A68" s="20" t="str">
        <f ca="1">IF(ISNA(MATCH(18,DATA_1!A2:A40,0)),"18","18 / " &amp; (INDIRECT("DATA_1!R"&amp;(MATCH(18,DATA_1!A2:A40,0))+1)) &amp; ":00")</f>
        <v>18 / 8:00</v>
      </c>
      <c r="B68" s="73">
        <f ca="1">IF(ISNA(MATCH(18,DATA_1!A2:A40,0)),"",INDIRECT("DATA_1!T"&amp;(MATCH(18,DATA_1!A2:A40,0))+1))</f>
        <v>0.76</v>
      </c>
      <c r="C68" s="70">
        <v>111</v>
      </c>
      <c r="D68" s="6">
        <f t="shared" ca="1" si="0"/>
        <v>84.36</v>
      </c>
      <c r="E68" s="34">
        <v>13.3</v>
      </c>
      <c r="F68" s="77">
        <v>7.4</v>
      </c>
      <c r="G68" s="3">
        <f t="shared" ca="1" si="1"/>
        <v>17.215429330867995</v>
      </c>
      <c r="H68" s="47" t="str">
        <f t="shared" ca="1" si="2"/>
        <v>YES</v>
      </c>
      <c r="I68" s="46">
        <v>867</v>
      </c>
    </row>
    <row r="69" spans="1:9" ht="24.95" customHeight="1" thickTop="1" thickBot="1" x14ac:dyDescent="0.25">
      <c r="A69" s="20" t="str">
        <f ca="1">IF(ISNA(MATCH(19,DATA_1!A2:A40,0)),"19","19 / " &amp; (INDIRECT("DATA_1!R"&amp;(MATCH(19,DATA_1!A2:A40,0))+1)) &amp; ":00")</f>
        <v>19 / 0:00</v>
      </c>
      <c r="B69" s="73">
        <f ca="1">IF(ISNA(MATCH(19,DATA_1!A2:A40,0)),"",INDIRECT("DATA_1!T"&amp;(MATCH(19,DATA_1!A2:A40,0))+1))</f>
        <v>0.77</v>
      </c>
      <c r="C69" s="70">
        <v>111</v>
      </c>
      <c r="D69" s="6">
        <f t="shared" ca="1" si="0"/>
        <v>85.47</v>
      </c>
      <c r="E69" s="34">
        <v>13.4</v>
      </c>
      <c r="F69" s="77">
        <v>7.47</v>
      </c>
      <c r="G69" s="3">
        <f t="shared" ca="1" si="1"/>
        <v>17.569291033839885</v>
      </c>
      <c r="H69" s="47" t="str">
        <f t="shared" ca="1" si="2"/>
        <v>YES</v>
      </c>
      <c r="I69" s="46">
        <v>857</v>
      </c>
    </row>
    <row r="70" spans="1:9" ht="24.95" customHeight="1" thickTop="1" thickBot="1" x14ac:dyDescent="0.25">
      <c r="A70" s="20" t="str">
        <f ca="1">IF(ISNA(MATCH(20,DATA_1!A2:A40,0)),"20","20 / " &amp; (INDIRECT("DATA_1!R"&amp;(MATCH(20,DATA_1!A2:A40,0))+1)) &amp; ":00")</f>
        <v>20 / 8:00</v>
      </c>
      <c r="B70" s="76">
        <f ca="1">IF(ISNA(MATCH(20,DATA_1!A2:A40,0)),"",INDIRECT("DATA_1!T"&amp;(MATCH(20,DATA_1!A2:A40,0))+1))</f>
        <v>0.79</v>
      </c>
      <c r="C70" s="70">
        <v>111</v>
      </c>
      <c r="D70" s="6">
        <f t="shared" ca="1" si="0"/>
        <v>87.69</v>
      </c>
      <c r="E70" s="34">
        <v>13.4</v>
      </c>
      <c r="F70" s="77">
        <v>7.46</v>
      </c>
      <c r="G70" s="3">
        <f t="shared" ca="1" si="1"/>
        <v>17.544319804732673</v>
      </c>
      <c r="H70" s="47" t="str">
        <f t="shared" ca="1" si="2"/>
        <v>YES</v>
      </c>
      <c r="I70" s="46">
        <v>881</v>
      </c>
    </row>
    <row r="71" spans="1:9" ht="24.95" customHeight="1" thickTop="1" thickBot="1" x14ac:dyDescent="0.25">
      <c r="A71" s="20" t="str">
        <f ca="1">IF(ISNA(MATCH(21,DATA_1!A2:A40,0)),"21","21 / " &amp; (INDIRECT("DATA_1!R"&amp;(MATCH(21,DATA_1!A2:A40,0))+1)) &amp; ":00")</f>
        <v>21 / 8:00</v>
      </c>
      <c r="B71" s="76">
        <f ca="1">IF(ISNA(MATCH(21,DATA_1!A2:A40,0)),"",INDIRECT("DATA_1!T"&amp;(MATCH(21,DATA_1!A2:A40,0))+1))</f>
        <v>0.78</v>
      </c>
      <c r="C71" s="27">
        <v>111</v>
      </c>
      <c r="D71" s="6">
        <f t="shared" ca="1" si="0"/>
        <v>86.58</v>
      </c>
      <c r="E71" s="34">
        <v>13.2</v>
      </c>
      <c r="F71" s="77">
        <v>7.46</v>
      </c>
      <c r="G71" s="3">
        <f t="shared" ca="1" si="1"/>
        <v>17.759048231843678</v>
      </c>
      <c r="H71" s="47" t="str">
        <f t="shared" ca="1" si="2"/>
        <v>YES</v>
      </c>
      <c r="I71" s="46">
        <v>800</v>
      </c>
    </row>
    <row r="72" spans="1:9" ht="24.95" customHeight="1" thickTop="1" thickBot="1" x14ac:dyDescent="0.25">
      <c r="A72" s="20" t="str">
        <f ca="1">IF(ISNA(MATCH(22,DATA_1!A2:A40,0)),"22","22 / " &amp; (INDIRECT("DATA_1!R"&amp;(MATCH(22,DATA_1!A2:A40,0))+1)) &amp; ":00")</f>
        <v>22 / 0:00</v>
      </c>
      <c r="B72" s="76">
        <f ca="1">IF(ISNA(MATCH(22,DATA_1!A2:A40,0)),"",INDIRECT("DATA_1!T"&amp;(MATCH(22,DATA_1!A2:A40,0))+1))</f>
        <v>0.78</v>
      </c>
      <c r="C72" s="70">
        <v>111</v>
      </c>
      <c r="D72" s="6">
        <f t="shared" ca="1" si="0"/>
        <v>86.58</v>
      </c>
      <c r="E72" s="34">
        <v>13.5</v>
      </c>
      <c r="F72" s="77">
        <v>7.5</v>
      </c>
      <c r="G72" s="3">
        <f t="shared" ca="1" si="1"/>
        <v>17.667354589216934</v>
      </c>
      <c r="H72" s="47" t="str">
        <f t="shared" ca="1" si="2"/>
        <v>YES</v>
      </c>
      <c r="I72" s="46">
        <v>839</v>
      </c>
    </row>
    <row r="73" spans="1:9" ht="24.95" customHeight="1" thickTop="1" thickBot="1" x14ac:dyDescent="0.25">
      <c r="A73" s="20" t="str">
        <f ca="1">IF(ISNA(MATCH(23,DATA_1!A2:A40,0)),"23","23 / " &amp; (INDIRECT("DATA_1!R"&amp;(MATCH(23,DATA_1!A2:A40,0))+1)) &amp; ":00")</f>
        <v>23 / 16:00</v>
      </c>
      <c r="B73" s="76">
        <f ca="1">IF(ISNA(MATCH(23,DATA_1!A2:A40,0)),"",INDIRECT("DATA_1!T"&amp;(MATCH(23,DATA_1!A2:A40,0))+1))</f>
        <v>0.75</v>
      </c>
      <c r="C73" s="70">
        <v>111</v>
      </c>
      <c r="D73" s="6">
        <f t="shared" ca="1" si="0"/>
        <v>83.25</v>
      </c>
      <c r="E73" s="34">
        <v>13.4</v>
      </c>
      <c r="F73" s="77">
        <v>7.48</v>
      </c>
      <c r="G73" s="3">
        <f t="shared" ca="1" si="1"/>
        <v>17.594296997090225</v>
      </c>
      <c r="H73" s="47" t="str">
        <f t="shared" ca="1" si="2"/>
        <v>YES</v>
      </c>
      <c r="I73" s="46">
        <v>810</v>
      </c>
    </row>
    <row r="74" spans="1:9" ht="24.95" customHeight="1" thickTop="1" thickBot="1" x14ac:dyDescent="0.25">
      <c r="A74" s="20" t="str">
        <f ca="1">IF(ISNA(MATCH(24,DATA_1!A2:A40,0)),"24","24 / " &amp; (INDIRECT("DATA_1!R"&amp;(MATCH(24,DATA_1!A2:A40,0))+1)) &amp; ":00")</f>
        <v>24 / 12:00</v>
      </c>
      <c r="B74" s="76">
        <f ca="1">IF(ISNA(MATCH(24,DATA_1!A2:A40,0)),"",INDIRECT("DATA_1!T"&amp;(MATCH(24,DATA_1!A2:A40,0))+1))</f>
        <v>0.72</v>
      </c>
      <c r="C74" s="70">
        <v>111</v>
      </c>
      <c r="D74" s="6">
        <f t="shared" ca="1" si="0"/>
        <v>79.92</v>
      </c>
      <c r="E74" s="34">
        <v>13.6</v>
      </c>
      <c r="F74" s="77">
        <v>7.36</v>
      </c>
      <c r="G74" s="3">
        <f t="shared" ca="1" si="1"/>
        <v>16.55185334856116</v>
      </c>
      <c r="H74" s="47" t="str">
        <f t="shared" ca="1" si="2"/>
        <v>YES</v>
      </c>
      <c r="I74" s="46">
        <v>833</v>
      </c>
    </row>
    <row r="75" spans="1:9" ht="24.95" customHeight="1" thickTop="1" thickBot="1" x14ac:dyDescent="0.25">
      <c r="A75" s="20" t="str">
        <f ca="1">IF(ISNA(MATCH(25,DATA_1!A2:A40,0)),"25","25 / " &amp; (INDIRECT("DATA_1!R"&amp;(MATCH(25,DATA_1!A2:A40,0))+1)) &amp; ":00")</f>
        <v>25 / 8:00</v>
      </c>
      <c r="B75" s="76">
        <f ca="1">IF(ISNA(MATCH(25,DATA_1!A2:A40,0)),"",INDIRECT("DATA_1!T"&amp;(MATCH(25,DATA_1!A2:A40,0))+1))</f>
        <v>0.74</v>
      </c>
      <c r="C75" s="70">
        <v>111</v>
      </c>
      <c r="D75" s="6">
        <f t="shared" ca="1" si="0"/>
        <v>82.14</v>
      </c>
      <c r="E75" s="34">
        <v>13.8</v>
      </c>
      <c r="F75" s="77">
        <v>7.39</v>
      </c>
      <c r="G75" s="3">
        <f t="shared" ca="1" si="1"/>
        <v>16.55270136795388</v>
      </c>
      <c r="H75" s="47" t="str">
        <f t="shared" ca="1" si="2"/>
        <v>YES</v>
      </c>
      <c r="I75" s="46">
        <v>846</v>
      </c>
    </row>
    <row r="76" spans="1:9" ht="24.95" customHeight="1" thickTop="1" thickBot="1" x14ac:dyDescent="0.25">
      <c r="A76" s="20" t="str">
        <f ca="1">IF(ISNA(MATCH(26,DATA_1!A2:A40,0)),"26","26 / " &amp; (INDIRECT("DATA_1!R"&amp;(MATCH(26,DATA_1!A2:A40,0))+1)) &amp; ":00")</f>
        <v>26 / 0:00</v>
      </c>
      <c r="B76" s="76">
        <f ca="1">IF(ISNA(MATCH(26,DATA_1!A2:A40,0)),"",INDIRECT("DATA_1!T"&amp;(MATCH(26,DATA_1!A2:A40,0))+1))</f>
        <v>0.76</v>
      </c>
      <c r="C76" s="27">
        <v>111</v>
      </c>
      <c r="D76" s="6">
        <f t="shared" ca="1" si="0"/>
        <v>84.36</v>
      </c>
      <c r="E76" s="34">
        <v>13.8</v>
      </c>
      <c r="F76" s="77">
        <v>7.44</v>
      </c>
      <c r="G76" s="3">
        <f t="shared" ca="1" si="1"/>
        <v>16.90000505600435</v>
      </c>
      <c r="H76" s="47" t="str">
        <f t="shared" ca="1" si="2"/>
        <v>YES</v>
      </c>
      <c r="I76" s="46">
        <v>831</v>
      </c>
    </row>
    <row r="77" spans="1:9" ht="24.95" customHeight="1" thickTop="1" thickBot="1" x14ac:dyDescent="0.25">
      <c r="A77" s="20" t="str">
        <f ca="1">IF(ISNA(MATCH(27,DATA_1!A2:A40,0)),"27","27 / " &amp; (INDIRECT("DATA_1!R"&amp;(MATCH(27,DATA_1!A2:A40,0))+1)) &amp; ":00")</f>
        <v>27 / 8:00</v>
      </c>
      <c r="B77" s="76">
        <f ca="1">IF(ISNA(MATCH(27,DATA_1!A2:A40,0)),"",INDIRECT("DATA_1!T"&amp;(MATCH(27,DATA_1!A2:A40,0))+1))</f>
        <v>0.79</v>
      </c>
      <c r="C77" s="70">
        <v>111</v>
      </c>
      <c r="D77" s="6">
        <f t="shared" ca="1" si="0"/>
        <v>87.69</v>
      </c>
      <c r="E77" s="34">
        <v>14</v>
      </c>
      <c r="F77" s="77">
        <v>7.43</v>
      </c>
      <c r="G77" s="3">
        <f t="shared" ca="1" si="1"/>
        <v>16.67167276352594</v>
      </c>
      <c r="H77" s="47" t="str">
        <f t="shared" ca="1" si="2"/>
        <v>YES</v>
      </c>
      <c r="I77" s="46">
        <v>856</v>
      </c>
    </row>
    <row r="78" spans="1:9" ht="24.95" customHeight="1" thickTop="1" thickBot="1" x14ac:dyDescent="0.25">
      <c r="A78" s="20" t="str">
        <f ca="1">IF(ISNA(MATCH(28,DATA_1!A2:A40,0)),"28","28 / " &amp; (INDIRECT("DATA_1!R"&amp;(MATCH(28,DATA_1!A2:A40,0))+1)) &amp; ":00")</f>
        <v>28 / 4:00</v>
      </c>
      <c r="B78" s="76">
        <v>0.78</v>
      </c>
      <c r="C78" s="70">
        <v>111</v>
      </c>
      <c r="D78" s="6">
        <f t="shared" si="0"/>
        <v>86.58</v>
      </c>
      <c r="E78" s="34">
        <v>14.5</v>
      </c>
      <c r="F78" s="77">
        <v>7.35</v>
      </c>
      <c r="G78" s="3">
        <f t="shared" si="1"/>
        <v>15.637021458296582</v>
      </c>
      <c r="H78" s="47" t="str">
        <f t="shared" si="2"/>
        <v>YES</v>
      </c>
      <c r="I78" s="46">
        <v>880</v>
      </c>
    </row>
    <row r="79" spans="1:9" ht="24.95" customHeight="1" thickTop="1" thickBot="1" x14ac:dyDescent="0.25">
      <c r="A79" s="20" t="str">
        <f ca="1">IF(ISNA(MATCH(29,DATA_1!A2:A40,0)),"29","29 / " &amp; (INDIRECT("DATA_1!R"&amp;(MATCH(29,DATA_1!A2:A40,0))+1)) &amp; ":00")</f>
        <v>29 / 12:00</v>
      </c>
      <c r="B79" s="76">
        <f ca="1">IF(ISNA(MATCH(29,DATA_1!A2:A40,0)),"",INDIRECT("DATA_1!T"&amp;(MATCH(29,DATA_1!A2:A40,0))+1))</f>
        <v>0.78</v>
      </c>
      <c r="C79" s="70">
        <v>111</v>
      </c>
      <c r="D79" s="6">
        <f t="shared" ca="1" si="0"/>
        <v>86.58</v>
      </c>
      <c r="E79" s="34">
        <v>14.8</v>
      </c>
      <c r="F79" s="77">
        <v>7.42</v>
      </c>
      <c r="G79" s="3">
        <f t="shared" ca="1" si="1"/>
        <v>15.729869478636456</v>
      </c>
      <c r="H79" s="47" t="str">
        <f t="shared" ca="1" si="2"/>
        <v>YES</v>
      </c>
      <c r="I79" s="46">
        <v>886</v>
      </c>
    </row>
    <row r="80" spans="1:9" ht="24.95" customHeight="1" thickTop="1" thickBot="1" x14ac:dyDescent="0.25">
      <c r="A80" s="20" t="str">
        <f ca="1">IF(ISNA(MATCH(30,DATA_1!A2:A40,0)),"30","30 / " &amp; (INDIRECT("DATA_1!R"&amp;(MATCH(30,DATA_1!A2:A40,0))+1)) &amp; ":00")</f>
        <v>30 / 8:00</v>
      </c>
      <c r="B80" s="76">
        <f ca="1">IF(ISNA(MATCH(30,DATA_1!A2:A40,0)),"",INDIRECT("DATA_1!T"&amp;(MATCH(30,DATA_1!A2:A40,0))+1))</f>
        <v>0.77</v>
      </c>
      <c r="C80" s="70">
        <v>111</v>
      </c>
      <c r="D80" s="6">
        <f t="shared" ca="1" si="0"/>
        <v>85.47</v>
      </c>
      <c r="E80" s="34">
        <v>14.8</v>
      </c>
      <c r="F80" s="77">
        <v>7.36</v>
      </c>
      <c r="G80" s="3">
        <f t="shared" ca="1" si="1"/>
        <v>15.366559653933052</v>
      </c>
      <c r="H80" s="47" t="str">
        <f t="shared" ca="1" si="2"/>
        <v>YES</v>
      </c>
      <c r="I80" s="46">
        <v>877</v>
      </c>
    </row>
    <row r="81" spans="1:9" ht="24.95" customHeight="1" thickTop="1" thickBot="1" x14ac:dyDescent="0.25">
      <c r="A81" s="20" t="str">
        <f ca="1">IF(ISNA(MATCH(31,DATA_1!A2:A40,0)),"31","31 / " &amp; (INDIRECT("DATA_1!R"&amp;(MATCH(31,DATA_1!A2:A40,0))+1)) &amp; ":00")</f>
        <v>31 / 8:00</v>
      </c>
      <c r="B81" s="76">
        <f ca="1">IF(ISNA(MATCH(31,DATA_1!A2:A40,0)),"",INDIRECT("DATA_1!T"&amp;(MATCH(31,DATA_1!A2:A40,0))+1))</f>
        <v>0.75</v>
      </c>
      <c r="C81" s="70">
        <v>111</v>
      </c>
      <c r="D81" s="18">
        <f t="shared" ca="1" si="0"/>
        <v>83.25</v>
      </c>
      <c r="E81" s="56">
        <v>15.3</v>
      </c>
      <c r="F81" s="49">
        <v>7.3</v>
      </c>
      <c r="G81" s="18">
        <f t="shared" ca="1" si="1"/>
        <v>14.501790647238689</v>
      </c>
      <c r="H81" s="19" t="str">
        <f t="shared" ca="1" si="2"/>
        <v>YES</v>
      </c>
      <c r="I81" s="86">
        <v>879</v>
      </c>
    </row>
    <row r="82" spans="1:9" ht="16.5" thickTop="1" x14ac:dyDescent="0.3">
      <c r="A82" s="21" t="s">
        <v>44</v>
      </c>
      <c r="B82" s="7"/>
      <c r="C82" s="7"/>
      <c r="D82" s="13"/>
      <c r="E82" s="17"/>
      <c r="F82" s="45"/>
      <c r="G82" s="17"/>
      <c r="H82" s="141" t="s">
        <v>6</v>
      </c>
      <c r="I82" s="142"/>
    </row>
    <row r="83" spans="1:9" ht="25.5" customHeight="1" x14ac:dyDescent="0.2">
      <c r="A83" s="143" t="s">
        <v>71</v>
      </c>
      <c r="B83" s="143"/>
      <c r="C83" s="143"/>
      <c r="D83" s="143"/>
      <c r="E83" s="143"/>
      <c r="F83" s="143"/>
      <c r="G83" s="143"/>
      <c r="H83" s="143"/>
      <c r="I83" s="143"/>
    </row>
    <row r="84" spans="1:9" x14ac:dyDescent="0.2">
      <c r="A84" s="127" t="s">
        <v>61</v>
      </c>
      <c r="B84" s="127"/>
      <c r="C84" s="127"/>
      <c r="D84" s="127"/>
      <c r="E84" s="127"/>
      <c r="F84" s="127"/>
      <c r="G84" s="127"/>
      <c r="H84" s="127"/>
      <c r="I84" s="127"/>
    </row>
  </sheetData>
  <sheetProtection password="CCC7" sheet="1" objects="1" scenarios="1"/>
  <mergeCells count="57"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5:I5"/>
    <mergeCell ref="A1:G1"/>
    <mergeCell ref="A2:G2"/>
    <mergeCell ref="B3:D3"/>
    <mergeCell ref="F3:G3"/>
    <mergeCell ref="H4:I4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 activeCell="S28" sqref="S28"/>
    </sheetView>
  </sheetViews>
  <sheetFormatPr defaultRowHeight="12.75" x14ac:dyDescent="0.2"/>
  <cols>
    <col min="1" max="2" width="9.140625" style="10"/>
    <col min="3" max="8" width="11.42578125" style="10" customWidth="1"/>
    <col min="9" max="11" width="15.7109375" style="10" customWidth="1"/>
    <col min="12" max="17" width="9.140625" style="10"/>
    <col min="18" max="20" width="15.7109375" style="10" customWidth="1"/>
    <col min="21" max="16384" width="9.140625" style="10"/>
  </cols>
  <sheetData>
    <row r="1" spans="1:20" s="41" customFormat="1" ht="43.5" customHeight="1" x14ac:dyDescent="0.2">
      <c r="A1" s="51" t="s">
        <v>3</v>
      </c>
      <c r="B1" s="51" t="s">
        <v>57</v>
      </c>
      <c r="C1" s="52" t="s">
        <v>1</v>
      </c>
      <c r="D1" s="52" t="s">
        <v>12</v>
      </c>
      <c r="E1" s="52" t="s">
        <v>42</v>
      </c>
      <c r="F1" s="52" t="s">
        <v>54</v>
      </c>
      <c r="G1" s="52" t="s">
        <v>24</v>
      </c>
      <c r="H1" s="52" t="s">
        <v>65</v>
      </c>
      <c r="I1" s="42" t="s">
        <v>68</v>
      </c>
      <c r="J1" s="42" t="s">
        <v>41</v>
      </c>
      <c r="K1" s="1" t="s">
        <v>7</v>
      </c>
      <c r="L1" s="81" t="s">
        <v>45</v>
      </c>
      <c r="M1" s="81" t="s">
        <v>58</v>
      </c>
      <c r="N1" s="81" t="s">
        <v>72</v>
      </c>
      <c r="O1" s="81" t="s">
        <v>46</v>
      </c>
      <c r="P1" s="81" t="s">
        <v>55</v>
      </c>
      <c r="Q1" s="81" t="s">
        <v>15</v>
      </c>
      <c r="R1" s="54" t="s">
        <v>52</v>
      </c>
      <c r="S1" s="80" t="s">
        <v>53</v>
      </c>
      <c r="T1" s="66" t="s">
        <v>63</v>
      </c>
    </row>
    <row r="2" spans="1:20" x14ac:dyDescent="0.2">
      <c r="A2" s="29">
        <v>1</v>
      </c>
      <c r="B2" s="29" t="s">
        <v>26</v>
      </c>
      <c r="C2" s="53">
        <v>999.99</v>
      </c>
      <c r="D2" s="53">
        <v>999.99</v>
      </c>
      <c r="E2" s="53">
        <v>999.99</v>
      </c>
      <c r="F2" s="53">
        <v>3.5211430000000002E-2</v>
      </c>
      <c r="G2" s="53">
        <v>2.629981E-2</v>
      </c>
      <c r="H2" s="53">
        <v>999.99</v>
      </c>
      <c r="I2" s="37">
        <v>12</v>
      </c>
      <c r="J2" s="37">
        <v>0</v>
      </c>
      <c r="K2" s="68">
        <v>3.6801390000000003E-2</v>
      </c>
      <c r="L2" s="53">
        <v>999.99</v>
      </c>
      <c r="M2" s="53">
        <v>999.99</v>
      </c>
      <c r="N2" s="53">
        <v>999.99</v>
      </c>
      <c r="O2" s="53">
        <v>0.74974479999999999</v>
      </c>
      <c r="P2" s="53">
        <v>0.82217629999999997</v>
      </c>
      <c r="Q2" s="53">
        <v>999.99</v>
      </c>
      <c r="R2" s="37">
        <v>12</v>
      </c>
      <c r="S2" s="91">
        <v>0.74974479999999999</v>
      </c>
      <c r="T2" s="33">
        <f t="shared" ref="T2:T45" si="0">IF(S2=0,"",ROUND(S2,2))</f>
        <v>0.75</v>
      </c>
    </row>
    <row r="3" spans="1:20" x14ac:dyDescent="0.2">
      <c r="A3" s="29">
        <v>2</v>
      </c>
      <c r="B3" s="29" t="s">
        <v>26</v>
      </c>
      <c r="C3" s="53">
        <v>999.99</v>
      </c>
      <c r="D3" s="53">
        <v>999.99</v>
      </c>
      <c r="E3" s="53">
        <v>3.2875550000000003E-2</v>
      </c>
      <c r="F3" s="53">
        <v>4.8284430000000003E-2</v>
      </c>
      <c r="G3" s="53">
        <v>2.7614960000000001E-2</v>
      </c>
      <c r="H3" s="53">
        <v>3.4387000000000001E-2</v>
      </c>
      <c r="I3" s="37">
        <v>12</v>
      </c>
      <c r="J3" s="37">
        <v>0</v>
      </c>
      <c r="K3" s="68">
        <v>4.9128480000000002E-2</v>
      </c>
      <c r="L3" s="53">
        <v>999.99</v>
      </c>
      <c r="M3" s="53">
        <v>999.99</v>
      </c>
      <c r="N3" s="53">
        <v>0.80757219999999996</v>
      </c>
      <c r="O3" s="53">
        <v>0.81375549999999996</v>
      </c>
      <c r="P3" s="53">
        <v>0.82252970000000003</v>
      </c>
      <c r="Q3" s="53">
        <v>0.83301159999999996</v>
      </c>
      <c r="R3" s="37">
        <v>8</v>
      </c>
      <c r="S3" s="91">
        <v>0.80757219999999996</v>
      </c>
      <c r="T3" s="33">
        <f t="shared" si="0"/>
        <v>0.81</v>
      </c>
    </row>
    <row r="4" spans="1:20" x14ac:dyDescent="0.2">
      <c r="A4" s="29">
        <v>3</v>
      </c>
      <c r="B4" s="29" t="s">
        <v>26</v>
      </c>
      <c r="C4" s="53">
        <v>999.99</v>
      </c>
      <c r="D4" s="53">
        <v>999.99</v>
      </c>
      <c r="E4" s="53">
        <v>6.1867800000000001E-2</v>
      </c>
      <c r="F4" s="53">
        <v>2.8203829999999999E-2</v>
      </c>
      <c r="G4" s="53">
        <v>2.5809080000000002E-2</v>
      </c>
      <c r="H4" s="53">
        <v>999.99</v>
      </c>
      <c r="I4" s="37">
        <v>8</v>
      </c>
      <c r="J4" s="37">
        <v>0</v>
      </c>
      <c r="K4" s="68">
        <v>6.6323610000000005E-2</v>
      </c>
      <c r="L4" s="53">
        <v>999.99</v>
      </c>
      <c r="M4" s="53">
        <v>999.99</v>
      </c>
      <c r="N4" s="53">
        <v>0.81240109999999999</v>
      </c>
      <c r="O4" s="53">
        <v>0.81976190000000004</v>
      </c>
      <c r="P4" s="53">
        <v>0.83524940000000003</v>
      </c>
      <c r="Q4" s="53">
        <v>999.99</v>
      </c>
      <c r="R4" s="37">
        <v>8</v>
      </c>
      <c r="S4" s="91">
        <v>0.81240109999999999</v>
      </c>
      <c r="T4" s="33">
        <f t="shared" si="0"/>
        <v>0.81</v>
      </c>
    </row>
    <row r="5" spans="1:20" x14ac:dyDescent="0.2">
      <c r="A5" s="29">
        <v>4</v>
      </c>
      <c r="B5" s="29" t="s">
        <v>26</v>
      </c>
      <c r="C5" s="53">
        <v>999.99</v>
      </c>
      <c r="D5" s="53">
        <v>999.99</v>
      </c>
      <c r="E5" s="53">
        <v>3.5761050000000003E-2</v>
      </c>
      <c r="F5" s="53">
        <v>2.3414310000000001E-2</v>
      </c>
      <c r="G5" s="53">
        <v>2.4474309999999999E-2</v>
      </c>
      <c r="H5" s="53">
        <v>999.99</v>
      </c>
      <c r="I5" s="37">
        <v>8</v>
      </c>
      <c r="J5" s="37">
        <v>0</v>
      </c>
      <c r="K5" s="68">
        <v>3.9549470000000003E-2</v>
      </c>
      <c r="L5" s="53">
        <v>999.99</v>
      </c>
      <c r="M5" s="53">
        <v>999.99</v>
      </c>
      <c r="N5" s="53">
        <v>0.81646419999999997</v>
      </c>
      <c r="O5" s="53">
        <v>0.83047939999999998</v>
      </c>
      <c r="P5" s="53">
        <v>0.82411959999999995</v>
      </c>
      <c r="Q5" s="53">
        <v>999.99</v>
      </c>
      <c r="R5" s="37">
        <v>8</v>
      </c>
      <c r="S5" s="91">
        <v>0.81646419999999997</v>
      </c>
      <c r="T5" s="33">
        <f t="shared" si="0"/>
        <v>0.82</v>
      </c>
    </row>
    <row r="6" spans="1:20" x14ac:dyDescent="0.2">
      <c r="A6" s="29">
        <v>5</v>
      </c>
      <c r="B6" s="29" t="s">
        <v>26</v>
      </c>
      <c r="C6" s="53">
        <v>999.99</v>
      </c>
      <c r="D6" s="53">
        <v>999.99</v>
      </c>
      <c r="E6" s="53">
        <v>3.9608369999999997E-2</v>
      </c>
      <c r="F6" s="53">
        <v>3.444589E-2</v>
      </c>
      <c r="G6" s="53">
        <v>2.8027159999999999E-2</v>
      </c>
      <c r="H6" s="53">
        <v>2.853754E-2</v>
      </c>
      <c r="I6" s="37">
        <v>8</v>
      </c>
      <c r="J6" s="37">
        <v>0</v>
      </c>
      <c r="K6" s="68">
        <v>3.9608369999999997E-2</v>
      </c>
      <c r="L6" s="53">
        <v>999.99</v>
      </c>
      <c r="M6" s="53">
        <v>999.99</v>
      </c>
      <c r="N6" s="53">
        <v>0.80445120000000003</v>
      </c>
      <c r="O6" s="53">
        <v>0.80504010000000004</v>
      </c>
      <c r="P6" s="53">
        <v>0.8105755</v>
      </c>
      <c r="Q6" s="53">
        <v>0.80150679999999996</v>
      </c>
      <c r="R6" s="37">
        <v>20</v>
      </c>
      <c r="S6" s="91">
        <v>0.80150679999999996</v>
      </c>
      <c r="T6" s="33">
        <f t="shared" si="0"/>
        <v>0.8</v>
      </c>
    </row>
    <row r="7" spans="1:20" x14ac:dyDescent="0.2">
      <c r="A7" s="29">
        <v>6</v>
      </c>
      <c r="B7" s="29" t="s">
        <v>26</v>
      </c>
      <c r="C7" s="53">
        <v>999.99</v>
      </c>
      <c r="D7" s="53">
        <v>999.99</v>
      </c>
      <c r="E7" s="53">
        <v>3.0186370000000001E-2</v>
      </c>
      <c r="F7" s="53">
        <v>2.4592070000000001E-2</v>
      </c>
      <c r="G7" s="53">
        <v>2.8223450000000001E-2</v>
      </c>
      <c r="H7" s="53">
        <v>999.99</v>
      </c>
      <c r="I7" s="37">
        <v>8</v>
      </c>
      <c r="J7" s="37">
        <v>0</v>
      </c>
      <c r="K7" s="68">
        <v>3.2973700000000002E-2</v>
      </c>
      <c r="L7" s="53">
        <v>999.99</v>
      </c>
      <c r="M7" s="53">
        <v>999.99</v>
      </c>
      <c r="N7" s="53">
        <v>0.77329979999999998</v>
      </c>
      <c r="O7" s="53">
        <v>0.78525389999999995</v>
      </c>
      <c r="P7" s="53">
        <v>0.78843379999999996</v>
      </c>
      <c r="Q7" s="53">
        <v>999.99</v>
      </c>
      <c r="R7" s="37">
        <v>8</v>
      </c>
      <c r="S7" s="91">
        <v>0.77329979999999998</v>
      </c>
      <c r="T7" s="33">
        <f t="shared" si="0"/>
        <v>0.77</v>
      </c>
    </row>
    <row r="8" spans="1:20" x14ac:dyDescent="0.2">
      <c r="A8" s="29">
        <v>7</v>
      </c>
      <c r="B8" s="29" t="s">
        <v>26</v>
      </c>
      <c r="C8" s="53">
        <v>999.99</v>
      </c>
      <c r="D8" s="53">
        <v>3.5976960000000002E-2</v>
      </c>
      <c r="E8" s="53">
        <v>2.7536439999999999E-2</v>
      </c>
      <c r="F8" s="53">
        <v>2.4415409999999999E-2</v>
      </c>
      <c r="G8" s="53">
        <v>999.99</v>
      </c>
      <c r="H8" s="53">
        <v>999.99</v>
      </c>
      <c r="I8" s="37">
        <v>8</v>
      </c>
      <c r="J8" s="37">
        <v>0</v>
      </c>
      <c r="K8" s="68">
        <v>4.8971470000000003E-2</v>
      </c>
      <c r="L8" s="53">
        <v>999.99</v>
      </c>
      <c r="M8" s="53">
        <v>0.77029650000000005</v>
      </c>
      <c r="N8" s="53">
        <v>0.78702059999999996</v>
      </c>
      <c r="O8" s="53">
        <v>0.81658209999999998</v>
      </c>
      <c r="P8" s="53">
        <v>999.99</v>
      </c>
      <c r="Q8" s="53">
        <v>999.99</v>
      </c>
      <c r="R8" s="37">
        <v>4</v>
      </c>
      <c r="S8" s="91">
        <v>0.77029650000000005</v>
      </c>
      <c r="T8" s="33">
        <f t="shared" si="0"/>
        <v>0.77</v>
      </c>
    </row>
    <row r="9" spans="1:20" x14ac:dyDescent="0.2">
      <c r="A9" s="29">
        <v>8</v>
      </c>
      <c r="B9" s="29" t="s">
        <v>26</v>
      </c>
      <c r="C9" s="53">
        <v>999.99</v>
      </c>
      <c r="D9" s="53">
        <v>0.22386710000000001</v>
      </c>
      <c r="E9" s="53">
        <v>999.99</v>
      </c>
      <c r="F9" s="53">
        <v>999.99</v>
      </c>
      <c r="G9" s="53">
        <v>3.5957339999999997E-2</v>
      </c>
      <c r="H9" s="53">
        <v>999.99</v>
      </c>
      <c r="I9" s="37">
        <v>4</v>
      </c>
      <c r="J9" s="37">
        <v>0</v>
      </c>
      <c r="K9" s="68">
        <v>0.2240634</v>
      </c>
      <c r="L9" s="53">
        <v>999.99</v>
      </c>
      <c r="M9" s="53">
        <v>0.79650149999999997</v>
      </c>
      <c r="N9" s="53">
        <v>999.99</v>
      </c>
      <c r="O9" s="53">
        <v>999.99</v>
      </c>
      <c r="P9" s="53">
        <v>0.81357880000000005</v>
      </c>
      <c r="Q9" s="53">
        <v>999.99</v>
      </c>
      <c r="R9" s="37">
        <v>4</v>
      </c>
      <c r="S9" s="91">
        <v>0.79650149999999997</v>
      </c>
      <c r="T9" s="33">
        <f t="shared" si="0"/>
        <v>0.8</v>
      </c>
    </row>
    <row r="10" spans="1:20" x14ac:dyDescent="0.2">
      <c r="A10" s="29">
        <v>9</v>
      </c>
      <c r="B10" s="29" t="s">
        <v>26</v>
      </c>
      <c r="C10" s="53">
        <v>999.99</v>
      </c>
      <c r="D10" s="53">
        <v>999.99</v>
      </c>
      <c r="E10" s="53">
        <v>4.4299709999999999E-2</v>
      </c>
      <c r="F10" s="53">
        <v>999.99</v>
      </c>
      <c r="G10" s="53">
        <v>3.4661810000000001E-2</v>
      </c>
      <c r="H10" s="53">
        <v>999.99</v>
      </c>
      <c r="I10" s="37">
        <v>8</v>
      </c>
      <c r="J10" s="37">
        <v>0</v>
      </c>
      <c r="K10" s="68">
        <v>4.592893E-2</v>
      </c>
      <c r="L10" s="53">
        <v>999.99</v>
      </c>
      <c r="M10" s="53">
        <v>999.99</v>
      </c>
      <c r="N10" s="53">
        <v>0.79497030000000002</v>
      </c>
      <c r="O10" s="53">
        <v>999.99</v>
      </c>
      <c r="P10" s="53">
        <v>0.81881979999999999</v>
      </c>
      <c r="Q10" s="53">
        <v>999.99</v>
      </c>
      <c r="R10" s="37">
        <v>8</v>
      </c>
      <c r="S10" s="91">
        <v>0.79497030000000002</v>
      </c>
      <c r="T10" s="33">
        <f t="shared" si="0"/>
        <v>0.79</v>
      </c>
    </row>
    <row r="11" spans="1:20" x14ac:dyDescent="0.2">
      <c r="A11" s="29">
        <v>10</v>
      </c>
      <c r="B11" s="29" t="s">
        <v>26</v>
      </c>
      <c r="C11" s="53">
        <v>999.99</v>
      </c>
      <c r="D11" s="53">
        <v>999.99</v>
      </c>
      <c r="E11" s="53">
        <v>999.99</v>
      </c>
      <c r="F11" s="53">
        <v>4.2788270000000003E-2</v>
      </c>
      <c r="G11" s="53">
        <v>3.9608369999999997E-2</v>
      </c>
      <c r="H11" s="53">
        <v>999.99</v>
      </c>
      <c r="I11" s="37">
        <v>12</v>
      </c>
      <c r="J11" s="37">
        <v>0</v>
      </c>
      <c r="K11" s="68">
        <v>4.6380400000000002E-2</v>
      </c>
      <c r="L11" s="53">
        <v>999.99</v>
      </c>
      <c r="M11" s="53">
        <v>999.99</v>
      </c>
      <c r="N11" s="53">
        <v>999.99</v>
      </c>
      <c r="O11" s="53">
        <v>0.78725610000000001</v>
      </c>
      <c r="P11" s="53">
        <v>0.81881979999999999</v>
      </c>
      <c r="Q11" s="53">
        <v>999.99</v>
      </c>
      <c r="R11" s="37">
        <v>12</v>
      </c>
      <c r="S11" s="91">
        <v>0.78725610000000001</v>
      </c>
      <c r="T11" s="33">
        <f t="shared" si="0"/>
        <v>0.79</v>
      </c>
    </row>
    <row r="12" spans="1:20" x14ac:dyDescent="0.2">
      <c r="A12" s="29">
        <v>11</v>
      </c>
      <c r="B12" s="29" t="s">
        <v>26</v>
      </c>
      <c r="C12" s="53">
        <v>999.99</v>
      </c>
      <c r="D12" s="53">
        <v>999.99</v>
      </c>
      <c r="E12" s="53">
        <v>999.99</v>
      </c>
      <c r="F12" s="53">
        <v>4.5006379999999999E-2</v>
      </c>
      <c r="G12" s="53">
        <v>3.6173249999999997E-2</v>
      </c>
      <c r="H12" s="53">
        <v>999.99</v>
      </c>
      <c r="I12" s="37">
        <v>12</v>
      </c>
      <c r="J12" s="37">
        <v>0</v>
      </c>
      <c r="K12" s="68">
        <v>4.893219E-2</v>
      </c>
      <c r="L12" s="53">
        <v>999.99</v>
      </c>
      <c r="M12" s="53">
        <v>999.99</v>
      </c>
      <c r="N12" s="53">
        <v>999.99</v>
      </c>
      <c r="O12" s="53">
        <v>0.81363759999999996</v>
      </c>
      <c r="P12" s="53">
        <v>0.82459070000000001</v>
      </c>
      <c r="Q12" s="53">
        <v>999.99</v>
      </c>
      <c r="R12" s="37">
        <v>12</v>
      </c>
      <c r="S12" s="91">
        <v>0.81363759999999996</v>
      </c>
      <c r="T12" s="33">
        <f t="shared" si="0"/>
        <v>0.81</v>
      </c>
    </row>
    <row r="13" spans="1:20" x14ac:dyDescent="0.2">
      <c r="A13" s="29">
        <v>12</v>
      </c>
      <c r="B13" s="29" t="s">
        <v>26</v>
      </c>
      <c r="C13" s="53">
        <v>999.99</v>
      </c>
      <c r="D13" s="53">
        <v>999.99</v>
      </c>
      <c r="E13" s="53">
        <v>6.1671509999999999E-2</v>
      </c>
      <c r="F13" s="53">
        <v>3.9470949999999998E-2</v>
      </c>
      <c r="G13" s="53">
        <v>3.5132910000000003E-2</v>
      </c>
      <c r="H13" s="53">
        <v>999.99</v>
      </c>
      <c r="I13" s="37">
        <v>8</v>
      </c>
      <c r="J13" s="37">
        <v>0</v>
      </c>
      <c r="K13" s="68">
        <v>6.5008449999999995E-2</v>
      </c>
      <c r="L13" s="53">
        <v>999.99</v>
      </c>
      <c r="M13" s="53">
        <v>999.99</v>
      </c>
      <c r="N13" s="53">
        <v>0.81351980000000002</v>
      </c>
      <c r="O13" s="53">
        <v>0.8169942</v>
      </c>
      <c r="P13" s="53">
        <v>0.81787759999999998</v>
      </c>
      <c r="Q13" s="53">
        <v>999.99</v>
      </c>
      <c r="R13" s="37">
        <v>8</v>
      </c>
      <c r="S13" s="91">
        <v>0.81351980000000002</v>
      </c>
      <c r="T13" s="33">
        <f t="shared" si="0"/>
        <v>0.81</v>
      </c>
    </row>
    <row r="14" spans="1:20" x14ac:dyDescent="0.2">
      <c r="A14" s="29">
        <v>13</v>
      </c>
      <c r="B14" s="29" t="s">
        <v>26</v>
      </c>
      <c r="C14" s="53">
        <v>999.99</v>
      </c>
      <c r="D14" s="53">
        <v>999.99</v>
      </c>
      <c r="E14" s="53">
        <v>4.2827549999999999E-2</v>
      </c>
      <c r="F14" s="53">
        <v>999.99</v>
      </c>
      <c r="G14" s="53">
        <v>3.7861359999999997E-2</v>
      </c>
      <c r="H14" s="53">
        <v>4.373047E-2</v>
      </c>
      <c r="I14" s="37">
        <v>20</v>
      </c>
      <c r="J14" s="37">
        <v>0</v>
      </c>
      <c r="K14" s="68">
        <v>4.6753360000000001E-2</v>
      </c>
      <c r="L14" s="53">
        <v>999.99</v>
      </c>
      <c r="M14" s="53">
        <v>999.99</v>
      </c>
      <c r="N14" s="53">
        <v>0.7843118</v>
      </c>
      <c r="O14" s="53">
        <v>999.99</v>
      </c>
      <c r="P14" s="53">
        <v>0.80003469999999999</v>
      </c>
      <c r="Q14" s="53">
        <v>0.81393199999999999</v>
      </c>
      <c r="R14" s="37">
        <v>8</v>
      </c>
      <c r="S14" s="91">
        <v>0.7843118</v>
      </c>
      <c r="T14" s="33">
        <f t="shared" si="0"/>
        <v>0.78</v>
      </c>
    </row>
    <row r="15" spans="1:20" x14ac:dyDescent="0.2">
      <c r="A15" s="29">
        <v>14</v>
      </c>
      <c r="B15" s="29" t="s">
        <v>26</v>
      </c>
      <c r="C15" s="53">
        <v>999.99</v>
      </c>
      <c r="D15" s="53">
        <v>999.99</v>
      </c>
      <c r="E15" s="53">
        <v>7.1407559999999995E-2</v>
      </c>
      <c r="F15" s="53">
        <v>999.99</v>
      </c>
      <c r="G15" s="53">
        <v>999.99</v>
      </c>
      <c r="H15" s="53">
        <v>999.99</v>
      </c>
      <c r="I15" s="37">
        <v>8</v>
      </c>
      <c r="J15" s="37">
        <v>0</v>
      </c>
      <c r="K15" s="68">
        <v>7.4391180000000001E-2</v>
      </c>
      <c r="L15" s="53">
        <v>999.99</v>
      </c>
      <c r="M15" s="53">
        <v>999.99</v>
      </c>
      <c r="N15" s="53">
        <v>0.78972929999999997</v>
      </c>
      <c r="O15" s="53">
        <v>999.99</v>
      </c>
      <c r="P15" s="53">
        <v>999.99</v>
      </c>
      <c r="Q15" s="53">
        <v>999.99</v>
      </c>
      <c r="R15" s="37">
        <v>8</v>
      </c>
      <c r="S15" s="91">
        <v>0.78972929999999997</v>
      </c>
      <c r="T15" s="33">
        <f t="shared" si="0"/>
        <v>0.79</v>
      </c>
    </row>
    <row r="16" spans="1:20" x14ac:dyDescent="0.2">
      <c r="A16" s="29">
        <v>15</v>
      </c>
      <c r="B16" s="29" t="s">
        <v>26</v>
      </c>
      <c r="C16" s="53">
        <v>4.5222289999999998E-2</v>
      </c>
      <c r="D16" s="53">
        <v>999.99</v>
      </c>
      <c r="E16" s="53">
        <v>999.99</v>
      </c>
      <c r="F16" s="53">
        <v>4.1021670000000003E-2</v>
      </c>
      <c r="G16" s="53">
        <v>999.99</v>
      </c>
      <c r="H16" s="53">
        <v>999.99</v>
      </c>
      <c r="I16" s="37">
        <v>0</v>
      </c>
      <c r="J16" s="37">
        <v>0</v>
      </c>
      <c r="K16" s="68">
        <v>4.8775180000000001E-2</v>
      </c>
      <c r="L16" s="53">
        <v>0.78007179999999998</v>
      </c>
      <c r="M16" s="53">
        <v>999.99</v>
      </c>
      <c r="N16" s="53">
        <v>999.99</v>
      </c>
      <c r="O16" s="53">
        <v>0.7904949</v>
      </c>
      <c r="P16" s="53">
        <v>999.99</v>
      </c>
      <c r="Q16" s="53">
        <v>999.99</v>
      </c>
      <c r="R16" s="37">
        <v>12</v>
      </c>
      <c r="S16" s="91">
        <v>0.7904949</v>
      </c>
      <c r="T16" s="33">
        <f t="shared" si="0"/>
        <v>0.79</v>
      </c>
    </row>
    <row r="17" spans="1:20" x14ac:dyDescent="0.2">
      <c r="A17" s="29">
        <v>16</v>
      </c>
      <c r="B17" s="29" t="s">
        <v>26</v>
      </c>
      <c r="C17" s="53">
        <v>7.6589669999999999E-2</v>
      </c>
      <c r="D17" s="53">
        <v>4.9049959999999997E-2</v>
      </c>
      <c r="E17" s="53">
        <v>999.99</v>
      </c>
      <c r="F17" s="53">
        <v>4.2415319999999999E-2</v>
      </c>
      <c r="G17" s="53">
        <v>999.99</v>
      </c>
      <c r="H17" s="53">
        <v>999.99</v>
      </c>
      <c r="I17" s="37">
        <v>4</v>
      </c>
      <c r="J17" s="37">
        <v>0</v>
      </c>
      <c r="K17" s="68">
        <v>5.0463260000000003E-2</v>
      </c>
      <c r="L17" s="53">
        <v>0.76958990000000005</v>
      </c>
      <c r="M17" s="53">
        <v>0.77859959999999995</v>
      </c>
      <c r="N17" s="53">
        <v>999.99</v>
      </c>
      <c r="O17" s="53">
        <v>0.78772719999999996</v>
      </c>
      <c r="P17" s="53">
        <v>999.99</v>
      </c>
      <c r="Q17" s="53">
        <v>999.99</v>
      </c>
      <c r="R17" s="37">
        <v>4</v>
      </c>
      <c r="S17" s="91">
        <v>0.77859959999999995</v>
      </c>
      <c r="T17" s="33">
        <f t="shared" si="0"/>
        <v>0.78</v>
      </c>
    </row>
    <row r="18" spans="1:20" x14ac:dyDescent="0.2">
      <c r="A18" s="29">
        <v>17</v>
      </c>
      <c r="B18" s="29" t="s">
        <v>26</v>
      </c>
      <c r="C18" s="53">
        <v>999.99</v>
      </c>
      <c r="D18" s="53">
        <v>5.8903810000000001E-2</v>
      </c>
      <c r="E18" s="53">
        <v>999.99</v>
      </c>
      <c r="F18" s="53">
        <v>4.3259369999999998E-2</v>
      </c>
      <c r="G18" s="53">
        <v>999.99</v>
      </c>
      <c r="H18" s="53">
        <v>999.99</v>
      </c>
      <c r="I18" s="37">
        <v>4</v>
      </c>
      <c r="J18" s="37">
        <v>0</v>
      </c>
      <c r="K18" s="68">
        <v>6.0709689999999997E-2</v>
      </c>
      <c r="L18" s="53">
        <v>999.99</v>
      </c>
      <c r="M18" s="53">
        <v>0.76729320000000001</v>
      </c>
      <c r="N18" s="53">
        <v>999.99</v>
      </c>
      <c r="O18" s="53">
        <v>0.78543059999999998</v>
      </c>
      <c r="P18" s="53">
        <v>999.99</v>
      </c>
      <c r="Q18" s="53">
        <v>999.99</v>
      </c>
      <c r="R18" s="37">
        <v>4</v>
      </c>
      <c r="S18" s="91">
        <v>0.76729320000000001</v>
      </c>
      <c r="T18" s="33">
        <f t="shared" si="0"/>
        <v>0.77</v>
      </c>
    </row>
    <row r="19" spans="1:20" x14ac:dyDescent="0.2">
      <c r="A19" s="29">
        <v>18</v>
      </c>
      <c r="B19" s="29" t="s">
        <v>26</v>
      </c>
      <c r="C19" s="53">
        <v>999.99</v>
      </c>
      <c r="D19" s="53">
        <v>999.99</v>
      </c>
      <c r="E19" s="53">
        <v>7.4567850000000005E-2</v>
      </c>
      <c r="F19" s="53">
        <v>4.8304079999999999E-2</v>
      </c>
      <c r="G19" s="53">
        <v>999.99</v>
      </c>
      <c r="H19" s="53">
        <v>999.99</v>
      </c>
      <c r="I19" s="37">
        <v>8</v>
      </c>
      <c r="J19" s="37">
        <v>0</v>
      </c>
      <c r="K19" s="68">
        <v>7.4587490000000006E-2</v>
      </c>
      <c r="L19" s="53">
        <v>999.99</v>
      </c>
      <c r="M19" s="53">
        <v>999.99</v>
      </c>
      <c r="N19" s="53">
        <v>0.76246449999999999</v>
      </c>
      <c r="O19" s="53">
        <v>0.77536079999999996</v>
      </c>
      <c r="P19" s="53">
        <v>999.99</v>
      </c>
      <c r="Q19" s="53">
        <v>999.99</v>
      </c>
      <c r="R19" s="37">
        <v>8</v>
      </c>
      <c r="S19" s="91">
        <v>0.76246449999999999</v>
      </c>
      <c r="T19" s="33">
        <f t="shared" si="0"/>
        <v>0.76</v>
      </c>
    </row>
    <row r="20" spans="1:20" x14ac:dyDescent="0.2">
      <c r="A20" s="29">
        <v>19</v>
      </c>
      <c r="B20" s="29" t="s">
        <v>26</v>
      </c>
      <c r="C20" s="53">
        <v>8.5010569999999994E-2</v>
      </c>
      <c r="D20" s="53">
        <v>999.99</v>
      </c>
      <c r="E20" s="53">
        <v>999.99</v>
      </c>
      <c r="F20" s="53">
        <v>999.99</v>
      </c>
      <c r="G20" s="53">
        <v>5.7843819999999997E-2</v>
      </c>
      <c r="H20" s="53">
        <v>999.99</v>
      </c>
      <c r="I20" s="37">
        <v>16</v>
      </c>
      <c r="J20" s="37">
        <v>0</v>
      </c>
      <c r="K20" s="68">
        <v>6.5028080000000002E-2</v>
      </c>
      <c r="L20" s="53">
        <v>0.76570329999999998</v>
      </c>
      <c r="M20" s="53">
        <v>999.99</v>
      </c>
      <c r="N20" s="53">
        <v>999.99</v>
      </c>
      <c r="O20" s="53">
        <v>999.99</v>
      </c>
      <c r="P20" s="53">
        <v>0.78866930000000002</v>
      </c>
      <c r="Q20" s="53">
        <v>999.99</v>
      </c>
      <c r="R20" s="37">
        <v>0</v>
      </c>
      <c r="S20" s="91">
        <v>0.77</v>
      </c>
      <c r="T20" s="33">
        <f t="shared" si="0"/>
        <v>0.77</v>
      </c>
    </row>
    <row r="21" spans="1:20" x14ac:dyDescent="0.2">
      <c r="A21" s="29">
        <v>20</v>
      </c>
      <c r="B21" s="29" t="s">
        <v>26</v>
      </c>
      <c r="C21" s="53">
        <v>999.99</v>
      </c>
      <c r="D21" s="53">
        <v>999.99</v>
      </c>
      <c r="E21" s="53">
        <v>9.0840400000000002E-2</v>
      </c>
      <c r="F21" s="53">
        <v>999.99</v>
      </c>
      <c r="G21" s="53">
        <v>999.99</v>
      </c>
      <c r="H21" s="53">
        <v>999.99</v>
      </c>
      <c r="I21" s="37">
        <v>8</v>
      </c>
      <c r="J21" s="37">
        <v>0</v>
      </c>
      <c r="K21" s="68">
        <v>9.4000700000000006E-2</v>
      </c>
      <c r="L21" s="53">
        <v>999.99</v>
      </c>
      <c r="M21" s="53">
        <v>999.99</v>
      </c>
      <c r="N21" s="53">
        <v>0.78902269999999997</v>
      </c>
      <c r="O21" s="53">
        <v>999.99</v>
      </c>
      <c r="P21" s="53">
        <v>999.99</v>
      </c>
      <c r="Q21" s="53">
        <v>999.99</v>
      </c>
      <c r="R21" s="37">
        <v>8</v>
      </c>
      <c r="S21" s="91">
        <v>0.78902269999999997</v>
      </c>
      <c r="T21" s="33">
        <f t="shared" si="0"/>
        <v>0.79</v>
      </c>
    </row>
    <row r="22" spans="1:20" x14ac:dyDescent="0.2">
      <c r="A22" s="29">
        <v>21</v>
      </c>
      <c r="B22" s="29" t="s">
        <v>26</v>
      </c>
      <c r="C22" s="53">
        <v>6.1278930000000002E-2</v>
      </c>
      <c r="D22" s="53">
        <v>999.99</v>
      </c>
      <c r="E22" s="53">
        <v>6.5597329999999995E-2</v>
      </c>
      <c r="F22" s="53">
        <v>999.99</v>
      </c>
      <c r="G22" s="53">
        <v>999.99</v>
      </c>
      <c r="H22" s="53">
        <v>999.99</v>
      </c>
      <c r="I22" s="37">
        <v>8</v>
      </c>
      <c r="J22" s="37">
        <v>0</v>
      </c>
      <c r="K22" s="68">
        <v>6.8404300000000001E-2</v>
      </c>
      <c r="L22" s="53">
        <v>0.79031819999999997</v>
      </c>
      <c r="M22" s="53">
        <v>999.99</v>
      </c>
      <c r="N22" s="53">
        <v>0.78366389999999997</v>
      </c>
      <c r="O22" s="53">
        <v>999.99</v>
      </c>
      <c r="P22" s="53">
        <v>999.99</v>
      </c>
      <c r="Q22" s="53">
        <v>999.99</v>
      </c>
      <c r="R22" s="37">
        <v>8</v>
      </c>
      <c r="S22" s="91">
        <v>0.78366389999999997</v>
      </c>
      <c r="T22" s="33">
        <f t="shared" si="0"/>
        <v>0.78</v>
      </c>
    </row>
    <row r="23" spans="1:20" x14ac:dyDescent="0.2">
      <c r="A23" s="29">
        <v>22</v>
      </c>
      <c r="B23" s="29" t="s">
        <v>26</v>
      </c>
      <c r="C23" s="53">
        <v>9.9182809999999996E-2</v>
      </c>
      <c r="D23" s="53">
        <v>999.99</v>
      </c>
      <c r="E23" s="53">
        <v>6.1671509999999999E-2</v>
      </c>
      <c r="F23" s="53">
        <v>5.8452329999999997E-2</v>
      </c>
      <c r="G23" s="53">
        <v>999.99</v>
      </c>
      <c r="H23" s="53">
        <v>999.99</v>
      </c>
      <c r="I23" s="37">
        <v>8</v>
      </c>
      <c r="J23" s="37">
        <v>0</v>
      </c>
      <c r="K23" s="68">
        <v>6.4223299999999997E-2</v>
      </c>
      <c r="L23" s="53">
        <v>0.78172059999999999</v>
      </c>
      <c r="M23" s="53">
        <v>999.99</v>
      </c>
      <c r="N23" s="53">
        <v>0.81069329999999995</v>
      </c>
      <c r="O23" s="53">
        <v>0.80150679999999996</v>
      </c>
      <c r="P23" s="53">
        <v>999.99</v>
      </c>
      <c r="Q23" s="53">
        <v>999.99</v>
      </c>
      <c r="R23" s="37">
        <v>0</v>
      </c>
      <c r="S23" s="91">
        <v>0.78</v>
      </c>
      <c r="T23" s="33">
        <f t="shared" si="0"/>
        <v>0.78</v>
      </c>
    </row>
    <row r="24" spans="1:20" x14ac:dyDescent="0.2">
      <c r="A24" s="29">
        <v>23</v>
      </c>
      <c r="B24" s="29" t="s">
        <v>26</v>
      </c>
      <c r="C24" s="53">
        <v>999.99</v>
      </c>
      <c r="D24" s="53">
        <v>999.99</v>
      </c>
      <c r="E24" s="53">
        <v>6.6951750000000004E-2</v>
      </c>
      <c r="F24" s="53">
        <v>6.6323610000000005E-2</v>
      </c>
      <c r="G24" s="53">
        <v>6.595065E-2</v>
      </c>
      <c r="H24" s="53">
        <v>999.99</v>
      </c>
      <c r="I24" s="37">
        <v>8</v>
      </c>
      <c r="J24" s="37">
        <v>0</v>
      </c>
      <c r="K24" s="68">
        <v>6.9012820000000002E-2</v>
      </c>
      <c r="L24" s="53">
        <v>999.99</v>
      </c>
      <c r="M24" s="53">
        <v>999.99</v>
      </c>
      <c r="N24" s="53">
        <v>0.75592800000000004</v>
      </c>
      <c r="O24" s="53">
        <v>0.75475029999999999</v>
      </c>
      <c r="P24" s="53">
        <v>0.75392579999999998</v>
      </c>
      <c r="Q24" s="53">
        <v>999.99</v>
      </c>
      <c r="R24" s="37">
        <v>16</v>
      </c>
      <c r="S24" s="91">
        <v>0.75392579999999998</v>
      </c>
      <c r="T24" s="33">
        <f t="shared" si="0"/>
        <v>0.75</v>
      </c>
    </row>
    <row r="25" spans="1:20" x14ac:dyDescent="0.2">
      <c r="A25" s="29">
        <v>24</v>
      </c>
      <c r="B25" s="29" t="s">
        <v>26</v>
      </c>
      <c r="C25" s="53">
        <v>999.99</v>
      </c>
      <c r="D25" s="53">
        <v>999.99</v>
      </c>
      <c r="E25" s="53">
        <v>999.99</v>
      </c>
      <c r="F25" s="53">
        <v>7.5667090000000006E-2</v>
      </c>
      <c r="G25" s="53">
        <v>6.7952830000000006E-2</v>
      </c>
      <c r="H25" s="53">
        <v>999.99</v>
      </c>
      <c r="I25" s="37">
        <v>12</v>
      </c>
      <c r="J25" s="37">
        <v>0</v>
      </c>
      <c r="K25" s="68">
        <v>7.6707429999999993E-2</v>
      </c>
      <c r="L25" s="53">
        <v>999.99</v>
      </c>
      <c r="M25" s="53">
        <v>999.99</v>
      </c>
      <c r="N25" s="53">
        <v>999.99</v>
      </c>
      <c r="O25" s="53">
        <v>0.72083109999999995</v>
      </c>
      <c r="P25" s="53">
        <v>0.75522140000000004</v>
      </c>
      <c r="Q25" s="53">
        <v>999.99</v>
      </c>
      <c r="R25" s="37">
        <v>12</v>
      </c>
      <c r="S25" s="91">
        <v>0.72083109999999995</v>
      </c>
      <c r="T25" s="33">
        <f t="shared" si="0"/>
        <v>0.72</v>
      </c>
    </row>
    <row r="26" spans="1:20" x14ac:dyDescent="0.2">
      <c r="A26" s="29">
        <v>25</v>
      </c>
      <c r="B26" s="29" t="s">
        <v>26</v>
      </c>
      <c r="C26" s="53">
        <v>999.99</v>
      </c>
      <c r="D26" s="53">
        <v>999.99</v>
      </c>
      <c r="E26" s="53">
        <v>8.3381350000000007E-2</v>
      </c>
      <c r="F26" s="53">
        <v>6.9189459999999994E-2</v>
      </c>
      <c r="G26" s="53">
        <v>999.99</v>
      </c>
      <c r="H26" s="53">
        <v>999.99</v>
      </c>
      <c r="I26" s="37">
        <v>8</v>
      </c>
      <c r="J26" s="37">
        <v>0</v>
      </c>
      <c r="K26" s="68">
        <v>8.3381350000000007E-2</v>
      </c>
      <c r="L26" s="53">
        <v>999.99</v>
      </c>
      <c r="M26" s="53">
        <v>999.99</v>
      </c>
      <c r="N26" s="53">
        <v>0.73519959999999995</v>
      </c>
      <c r="O26" s="53">
        <v>0.78507729999999998</v>
      </c>
      <c r="P26" s="53">
        <v>999.99</v>
      </c>
      <c r="Q26" s="53">
        <v>999.99</v>
      </c>
      <c r="R26" s="37">
        <v>8</v>
      </c>
      <c r="S26" s="91">
        <v>0.73519959999999995</v>
      </c>
      <c r="T26" s="33">
        <f t="shared" si="0"/>
        <v>0.74</v>
      </c>
    </row>
    <row r="27" spans="1:20" x14ac:dyDescent="0.2">
      <c r="A27" s="29">
        <v>26</v>
      </c>
      <c r="B27" s="29" t="s">
        <v>26</v>
      </c>
      <c r="C27" s="53">
        <v>0.1087814</v>
      </c>
      <c r="D27" s="53">
        <v>8.1241759999999996E-2</v>
      </c>
      <c r="E27" s="53">
        <v>999.99</v>
      </c>
      <c r="F27" s="53">
        <v>999.99</v>
      </c>
      <c r="G27" s="53">
        <v>999.99</v>
      </c>
      <c r="H27" s="53">
        <v>999.99</v>
      </c>
      <c r="I27" s="37">
        <v>4</v>
      </c>
      <c r="J27" s="37">
        <v>0</v>
      </c>
      <c r="K27" s="68">
        <v>8.1359529999999999E-2</v>
      </c>
      <c r="L27" s="53">
        <v>0.76275899999999996</v>
      </c>
      <c r="M27" s="53">
        <v>0.78813940000000005</v>
      </c>
      <c r="N27" s="53">
        <v>999.99</v>
      </c>
      <c r="O27" s="53">
        <v>999.99</v>
      </c>
      <c r="P27" s="53">
        <v>999.99</v>
      </c>
      <c r="Q27" s="53">
        <v>999.99</v>
      </c>
      <c r="R27" s="37">
        <v>0</v>
      </c>
      <c r="S27" s="91">
        <v>0.76300000000000001</v>
      </c>
      <c r="T27" s="33">
        <f t="shared" si="0"/>
        <v>0.76</v>
      </c>
    </row>
    <row r="28" spans="1:20" x14ac:dyDescent="0.2">
      <c r="A28" s="29">
        <v>27</v>
      </c>
      <c r="B28" s="29" t="s">
        <v>26</v>
      </c>
      <c r="C28" s="53">
        <v>8.5481669999999996E-2</v>
      </c>
      <c r="D28" s="53">
        <v>999.99</v>
      </c>
      <c r="E28" s="53">
        <v>8.141843E-2</v>
      </c>
      <c r="F28" s="53">
        <v>8.5717199999999993E-2</v>
      </c>
      <c r="G28" s="53">
        <v>999.99</v>
      </c>
      <c r="H28" s="53">
        <v>999.99</v>
      </c>
      <c r="I28" s="37">
        <v>12</v>
      </c>
      <c r="J28" s="37">
        <v>0</v>
      </c>
      <c r="K28" s="68">
        <v>8.6855689999999999E-2</v>
      </c>
      <c r="L28" s="53">
        <v>0.79361590000000004</v>
      </c>
      <c r="M28" s="53">
        <v>999.99</v>
      </c>
      <c r="N28" s="53">
        <v>0.79385159999999999</v>
      </c>
      <c r="O28" s="53">
        <v>0.80886769999999997</v>
      </c>
      <c r="P28" s="53">
        <v>999.99</v>
      </c>
      <c r="Q28" s="53">
        <v>999.99</v>
      </c>
      <c r="R28" s="37">
        <v>8</v>
      </c>
      <c r="S28" s="91">
        <v>0.79385159999999999</v>
      </c>
      <c r="T28" s="33">
        <f t="shared" si="0"/>
        <v>0.79</v>
      </c>
    </row>
    <row r="29" spans="1:20" x14ac:dyDescent="0.2">
      <c r="A29" s="29">
        <v>28</v>
      </c>
      <c r="B29" s="29" t="s">
        <v>26</v>
      </c>
      <c r="C29" s="53">
        <v>999.99</v>
      </c>
      <c r="D29" s="53">
        <v>9.8535040000000004E-2</v>
      </c>
      <c r="E29" s="53">
        <v>999.99</v>
      </c>
      <c r="F29" s="53">
        <v>999.99</v>
      </c>
      <c r="G29" s="53">
        <v>0.1367922</v>
      </c>
      <c r="H29" s="53">
        <v>9.1645199999999996E-2</v>
      </c>
      <c r="I29" s="37">
        <v>16</v>
      </c>
      <c r="J29" s="37">
        <v>0</v>
      </c>
      <c r="K29" s="68">
        <v>0.13920660000000001</v>
      </c>
      <c r="L29" s="53">
        <v>999.99</v>
      </c>
      <c r="M29" s="53">
        <v>0.77306430000000004</v>
      </c>
      <c r="N29" s="53">
        <v>999.99</v>
      </c>
      <c r="O29" s="53">
        <v>999.99</v>
      </c>
      <c r="P29" s="53">
        <v>0.78495950000000003</v>
      </c>
      <c r="Q29" s="53">
        <v>0.80250790000000005</v>
      </c>
      <c r="R29" s="37">
        <v>4</v>
      </c>
      <c r="S29" s="91">
        <v>0.77306430000000004</v>
      </c>
      <c r="T29" s="33">
        <f t="shared" si="0"/>
        <v>0.77</v>
      </c>
    </row>
    <row r="30" spans="1:20" x14ac:dyDescent="0.2">
      <c r="A30" s="29">
        <v>29</v>
      </c>
      <c r="B30" s="29" t="s">
        <v>26</v>
      </c>
      <c r="C30" s="53">
        <v>999.99</v>
      </c>
      <c r="D30" s="53">
        <v>999.99</v>
      </c>
      <c r="E30" s="53">
        <v>999.99</v>
      </c>
      <c r="F30" s="53">
        <v>0.1115884</v>
      </c>
      <c r="G30" s="53">
        <v>9.780875E-2</v>
      </c>
      <c r="H30" s="53">
        <v>999.99</v>
      </c>
      <c r="I30" s="37">
        <v>12</v>
      </c>
      <c r="J30" s="37">
        <v>0</v>
      </c>
      <c r="K30" s="68">
        <v>0.1115884</v>
      </c>
      <c r="L30" s="53">
        <v>999.99</v>
      </c>
      <c r="M30" s="53">
        <v>999.99</v>
      </c>
      <c r="N30" s="53">
        <v>999.99</v>
      </c>
      <c r="O30" s="53">
        <v>0.77889410000000003</v>
      </c>
      <c r="P30" s="53">
        <v>0.80627669999999996</v>
      </c>
      <c r="Q30" s="53">
        <v>999.99</v>
      </c>
      <c r="R30" s="37">
        <v>12</v>
      </c>
      <c r="S30" s="91">
        <v>0.77889410000000003</v>
      </c>
      <c r="T30" s="33">
        <f t="shared" si="0"/>
        <v>0.78</v>
      </c>
    </row>
    <row r="31" spans="1:20" x14ac:dyDescent="0.2">
      <c r="A31" s="29">
        <v>30</v>
      </c>
      <c r="B31" s="29" t="s">
        <v>26</v>
      </c>
      <c r="C31" s="53">
        <v>999.99</v>
      </c>
      <c r="D31" s="53">
        <v>999.99</v>
      </c>
      <c r="E31" s="53">
        <v>0.1133354</v>
      </c>
      <c r="F31" s="53">
        <v>999.99</v>
      </c>
      <c r="G31" s="53">
        <v>0.113728</v>
      </c>
      <c r="H31" s="53">
        <v>999.99</v>
      </c>
      <c r="I31" s="37">
        <v>16</v>
      </c>
      <c r="J31" s="37">
        <v>0</v>
      </c>
      <c r="K31" s="68">
        <v>0.1150431</v>
      </c>
      <c r="L31" s="53">
        <v>999.99</v>
      </c>
      <c r="M31" s="53">
        <v>999.99</v>
      </c>
      <c r="N31" s="53">
        <v>0.766351</v>
      </c>
      <c r="O31" s="53">
        <v>999.99</v>
      </c>
      <c r="P31" s="53">
        <v>0.78925820000000002</v>
      </c>
      <c r="Q31" s="53">
        <v>999.99</v>
      </c>
      <c r="R31" s="37">
        <v>8</v>
      </c>
      <c r="S31" s="91">
        <v>0.766351</v>
      </c>
      <c r="T31" s="33">
        <f t="shared" si="0"/>
        <v>0.77</v>
      </c>
    </row>
    <row r="32" spans="1:20" x14ac:dyDescent="0.2">
      <c r="A32" s="29">
        <v>31</v>
      </c>
      <c r="B32" s="29" t="s">
        <v>26</v>
      </c>
      <c r="C32" s="53">
        <v>999.99</v>
      </c>
      <c r="D32" s="53">
        <v>999.99</v>
      </c>
      <c r="E32" s="53">
        <v>0.12648690000000001</v>
      </c>
      <c r="F32" s="53">
        <v>0.1092133</v>
      </c>
      <c r="G32" s="53">
        <v>0.1098218</v>
      </c>
      <c r="H32" s="53">
        <v>999.99</v>
      </c>
      <c r="I32" s="37">
        <v>8</v>
      </c>
      <c r="J32" s="37">
        <v>0</v>
      </c>
      <c r="K32" s="68">
        <v>0.12799840000000001</v>
      </c>
      <c r="L32" s="53">
        <v>999.99</v>
      </c>
      <c r="M32" s="53">
        <v>999.99</v>
      </c>
      <c r="N32" s="53">
        <v>0.75003920000000002</v>
      </c>
      <c r="O32" s="53">
        <v>0.78154400000000002</v>
      </c>
      <c r="P32" s="53">
        <v>0.80763119999999999</v>
      </c>
      <c r="Q32" s="53">
        <v>999.99</v>
      </c>
      <c r="R32" s="37">
        <v>8</v>
      </c>
      <c r="S32" s="91">
        <v>0.75003920000000002</v>
      </c>
      <c r="T32" s="33">
        <f t="shared" si="0"/>
        <v>0.75</v>
      </c>
    </row>
    <row r="33" spans="1:20" x14ac:dyDescent="0.2">
      <c r="A33" s="29"/>
      <c r="B33" s="29"/>
      <c r="C33" s="53"/>
      <c r="D33" s="53"/>
      <c r="E33" s="53"/>
      <c r="F33" s="53"/>
      <c r="G33" s="53"/>
      <c r="H33" s="53"/>
      <c r="I33" s="37"/>
      <c r="J33" s="37"/>
      <c r="K33" s="68"/>
      <c r="L33" s="53"/>
      <c r="M33" s="53"/>
      <c r="N33" s="53"/>
      <c r="O33" s="53"/>
      <c r="P33" s="53"/>
      <c r="Q33" s="53"/>
      <c r="R33" s="37"/>
      <c r="S33" s="91"/>
      <c r="T33" s="33" t="str">
        <f t="shared" si="0"/>
        <v/>
      </c>
    </row>
    <row r="34" spans="1:20" x14ac:dyDescent="0.2">
      <c r="A34" s="29"/>
      <c r="B34" s="29"/>
      <c r="C34" s="53"/>
      <c r="D34" s="53"/>
      <c r="E34" s="53"/>
      <c r="F34" s="53"/>
      <c r="G34" s="53"/>
      <c r="H34" s="53"/>
      <c r="I34" s="37"/>
      <c r="J34" s="37"/>
      <c r="K34" s="68"/>
      <c r="L34" s="53"/>
      <c r="M34" s="53"/>
      <c r="N34" s="53"/>
      <c r="O34" s="53"/>
      <c r="P34" s="53"/>
      <c r="Q34" s="53"/>
      <c r="R34" s="37"/>
      <c r="S34" s="91"/>
      <c r="T34" s="33" t="str">
        <f t="shared" si="0"/>
        <v/>
      </c>
    </row>
    <row r="35" spans="1:20" x14ac:dyDescent="0.2">
      <c r="A35" s="29"/>
      <c r="B35" s="29"/>
      <c r="C35" s="53"/>
      <c r="D35" s="53"/>
      <c r="E35" s="53"/>
      <c r="F35" s="53"/>
      <c r="G35" s="53"/>
      <c r="H35" s="53"/>
      <c r="I35" s="37"/>
      <c r="J35" s="37"/>
      <c r="K35" s="68"/>
      <c r="L35" s="53"/>
      <c r="M35" s="53"/>
      <c r="N35" s="53"/>
      <c r="O35" s="53"/>
      <c r="P35" s="53"/>
      <c r="Q35" s="53"/>
      <c r="R35" s="37"/>
      <c r="S35" s="91"/>
      <c r="T35" s="33" t="str">
        <f t="shared" si="0"/>
        <v/>
      </c>
    </row>
    <row r="36" spans="1:20" x14ac:dyDescent="0.2">
      <c r="A36" s="29"/>
      <c r="B36" s="29"/>
      <c r="C36" s="53"/>
      <c r="D36" s="53"/>
      <c r="E36" s="53"/>
      <c r="F36" s="53"/>
      <c r="G36" s="53"/>
      <c r="H36" s="53"/>
      <c r="I36" s="37"/>
      <c r="J36" s="37"/>
      <c r="K36" s="68"/>
      <c r="L36" s="53"/>
      <c r="M36" s="53"/>
      <c r="N36" s="53"/>
      <c r="O36" s="53"/>
      <c r="P36" s="53"/>
      <c r="Q36" s="53"/>
      <c r="R36" s="37"/>
      <c r="S36" s="91"/>
      <c r="T36" s="33" t="str">
        <f t="shared" si="0"/>
        <v/>
      </c>
    </row>
    <row r="37" spans="1:20" x14ac:dyDescent="0.2">
      <c r="A37" s="29"/>
      <c r="B37" s="29"/>
      <c r="C37" s="53"/>
      <c r="D37" s="53"/>
      <c r="E37" s="53"/>
      <c r="F37" s="53"/>
      <c r="G37" s="53"/>
      <c r="H37" s="53"/>
      <c r="I37" s="37"/>
      <c r="J37" s="37"/>
      <c r="K37" s="68"/>
      <c r="L37" s="53"/>
      <c r="M37" s="53"/>
      <c r="N37" s="53"/>
      <c r="O37" s="53"/>
      <c r="P37" s="53"/>
      <c r="Q37" s="53"/>
      <c r="R37" s="37"/>
      <c r="S37" s="91"/>
      <c r="T37" s="33" t="str">
        <f t="shared" si="0"/>
        <v/>
      </c>
    </row>
    <row r="38" spans="1:20" x14ac:dyDescent="0.2">
      <c r="A38" s="29"/>
      <c r="B38" s="29"/>
      <c r="C38" s="53"/>
      <c r="D38" s="53"/>
      <c r="E38" s="53"/>
      <c r="F38" s="53"/>
      <c r="G38" s="53"/>
      <c r="H38" s="53"/>
      <c r="I38" s="37"/>
      <c r="J38" s="37"/>
      <c r="K38" s="68"/>
      <c r="L38" s="53"/>
      <c r="M38" s="53"/>
      <c r="N38" s="53"/>
      <c r="O38" s="53"/>
      <c r="P38" s="53"/>
      <c r="Q38" s="53"/>
      <c r="R38" s="37"/>
      <c r="S38" s="91"/>
      <c r="T38" s="33" t="str">
        <f t="shared" si="0"/>
        <v/>
      </c>
    </row>
    <row r="39" spans="1:20" x14ac:dyDescent="0.2">
      <c r="A39" s="29"/>
      <c r="B39" s="29"/>
      <c r="C39" s="53"/>
      <c r="D39" s="53"/>
      <c r="E39" s="53"/>
      <c r="F39" s="53"/>
      <c r="G39" s="53"/>
      <c r="H39" s="53"/>
      <c r="I39" s="37"/>
      <c r="J39" s="37"/>
      <c r="K39" s="68"/>
      <c r="L39" s="53"/>
      <c r="M39" s="53"/>
      <c r="N39" s="53"/>
      <c r="O39" s="53"/>
      <c r="P39" s="53"/>
      <c r="Q39" s="53"/>
      <c r="R39" s="37"/>
      <c r="S39" s="91"/>
      <c r="T39" s="33" t="str">
        <f t="shared" si="0"/>
        <v/>
      </c>
    </row>
    <row r="40" spans="1:20" x14ac:dyDescent="0.2">
      <c r="A40" s="29"/>
      <c r="B40" s="29"/>
      <c r="C40" s="53"/>
      <c r="D40" s="53"/>
      <c r="E40" s="53"/>
      <c r="F40" s="53"/>
      <c r="G40" s="53"/>
      <c r="H40" s="53"/>
      <c r="I40" s="37"/>
      <c r="J40" s="37"/>
      <c r="K40" s="68"/>
      <c r="L40" s="53"/>
      <c r="M40" s="53"/>
      <c r="N40" s="53"/>
      <c r="O40" s="53"/>
      <c r="P40" s="53"/>
      <c r="Q40" s="53"/>
      <c r="R40" s="37"/>
      <c r="S40" s="91"/>
      <c r="T40" s="33" t="str">
        <f t="shared" si="0"/>
        <v/>
      </c>
    </row>
    <row r="41" spans="1:20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84"/>
      <c r="S41" s="91"/>
      <c r="T41" s="33" t="str">
        <f t="shared" si="0"/>
        <v/>
      </c>
    </row>
    <row r="42" spans="1:20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84"/>
      <c r="S42" s="91"/>
      <c r="T42" s="33" t="str">
        <f t="shared" si="0"/>
        <v/>
      </c>
    </row>
    <row r="43" spans="1:20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84"/>
      <c r="S43" s="91"/>
      <c r="T43" s="33" t="str">
        <f t="shared" si="0"/>
        <v/>
      </c>
    </row>
    <row r="44" spans="1:20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84"/>
      <c r="S44" s="91"/>
      <c r="T44" s="33" t="str">
        <f t="shared" si="0"/>
        <v/>
      </c>
    </row>
    <row r="45" spans="1:20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84"/>
      <c r="S45" s="91"/>
      <c r="T45" s="33" t="str">
        <f t="shared" si="0"/>
        <v/>
      </c>
    </row>
    <row r="217" spans="1:2" x14ac:dyDescent="0.2">
      <c r="A217" s="9"/>
      <c r="B217" s="9"/>
    </row>
    <row r="241" spans="1:2" x14ac:dyDescent="0.2">
      <c r="A241" s="15"/>
      <c r="B241" s="15"/>
    </row>
    <row r="385" spans="1:2" x14ac:dyDescent="0.2">
      <c r="A385" s="15"/>
      <c r="B385" s="15"/>
    </row>
    <row r="457" spans="1:2" x14ac:dyDescent="0.2">
      <c r="A457" s="15"/>
      <c r="B457" s="1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dcterms:modified xsi:type="dcterms:W3CDTF">2025-06-02T17:09:51Z</dcterms:modified>
</cp:coreProperties>
</file>