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LRprojects\Toledo_WTP\Reports\OHA Report\"/>
    </mc:Choice>
  </mc:AlternateContent>
  <xr:revisionPtr revIDLastSave="0" documentId="13_ncr:1_{319EC705-373F-4461-8A8E-7ECE2AF849C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port" sheetId="1" r:id="rId1"/>
    <sheet name="DATA_1" sheetId="2" r:id="rId2"/>
  </sheets>
  <definedNames>
    <definedName name="Log_Inactiv" localSheetId="0">#REF!</definedName>
    <definedName name="Log_Inact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45" i="2" l="1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T2" i="2"/>
  <c r="G79" i="1"/>
  <c r="D79" i="1"/>
  <c r="H79" i="1" s="1"/>
  <c r="G77" i="1"/>
  <c r="D77" i="1"/>
  <c r="H77" i="1" s="1"/>
  <c r="G73" i="1"/>
  <c r="D73" i="1"/>
  <c r="H73" i="1" s="1"/>
  <c r="G70" i="1"/>
  <c r="D70" i="1"/>
  <c r="H70" i="1" s="1"/>
  <c r="G67" i="1"/>
  <c r="D67" i="1"/>
  <c r="H67" i="1" s="1"/>
  <c r="G60" i="1"/>
  <c r="H60" i="1" s="1"/>
  <c r="D60" i="1"/>
  <c r="G59" i="1"/>
  <c r="H59" i="1" s="1"/>
  <c r="D59" i="1"/>
  <c r="G57" i="1"/>
  <c r="D57" i="1"/>
  <c r="H57" i="1" s="1"/>
  <c r="G53" i="1"/>
  <c r="D53" i="1"/>
  <c r="H53" i="1" s="1"/>
  <c r="B26" i="1"/>
  <c r="F20" i="1"/>
  <c r="C10" i="1"/>
  <c r="C29" i="1"/>
  <c r="A72" i="1"/>
  <c r="G16" i="1"/>
  <c r="A79" i="1"/>
  <c r="B52" i="1"/>
  <c r="C25" i="1"/>
  <c r="D25" i="1"/>
  <c r="G22" i="1"/>
  <c r="C32" i="1"/>
  <c r="G7" i="1"/>
  <c r="F22" i="1"/>
  <c r="B78" i="1"/>
  <c r="B66" i="1"/>
  <c r="B74" i="1"/>
  <c r="A77" i="1"/>
  <c r="B32" i="1"/>
  <c r="D26" i="1"/>
  <c r="B21" i="1"/>
  <c r="D15" i="1"/>
  <c r="H9" i="1"/>
  <c r="B64" i="1"/>
  <c r="A60" i="1"/>
  <c r="G31" i="1"/>
  <c r="C26" i="1"/>
  <c r="G20" i="1"/>
  <c r="C15" i="1"/>
  <c r="C9" i="1"/>
  <c r="B68" i="1"/>
  <c r="G27" i="1"/>
  <c r="G19" i="1"/>
  <c r="C17" i="1"/>
  <c r="G24" i="1"/>
  <c r="D35" i="1"/>
  <c r="C23" i="1"/>
  <c r="G33" i="1"/>
  <c r="C11" i="1"/>
  <c r="B8" i="1"/>
  <c r="B28" i="1"/>
  <c r="D7" i="1"/>
  <c r="A62" i="1"/>
  <c r="D11" i="1"/>
  <c r="B27" i="1"/>
  <c r="G12" i="1"/>
  <c r="B12" i="1"/>
  <c r="C30" i="1"/>
  <c r="E22" i="1"/>
  <c r="C28" i="1"/>
  <c r="G15" i="1"/>
  <c r="B29" i="1"/>
  <c r="G5" i="1"/>
  <c r="A56" i="1"/>
  <c r="C6" i="1"/>
  <c r="D21" i="1"/>
  <c r="F15" i="1"/>
  <c r="D17" i="1"/>
  <c r="B72" i="1"/>
  <c r="A53" i="1"/>
  <c r="A76" i="1"/>
  <c r="B33" i="1"/>
  <c r="A59" i="1"/>
  <c r="A55" i="1"/>
  <c r="B13" i="1"/>
  <c r="G34" i="1"/>
  <c r="G8" i="1"/>
  <c r="A75" i="1"/>
  <c r="G26" i="1"/>
  <c r="G11" i="1"/>
  <c r="C8" i="1"/>
  <c r="B18" i="1"/>
  <c r="B34" i="1"/>
  <c r="A70" i="1"/>
  <c r="A64" i="1"/>
  <c r="G29" i="1"/>
  <c r="A74" i="1"/>
  <c r="G18" i="1"/>
  <c r="A52" i="1"/>
  <c r="B62" i="1"/>
  <c r="E21" i="1"/>
  <c r="B65" i="1"/>
  <c r="C7" i="1"/>
  <c r="B15" i="1"/>
  <c r="F13" i="1"/>
  <c r="A57" i="1"/>
  <c r="B9" i="1"/>
  <c r="B5" i="1"/>
  <c r="F11" i="1"/>
  <c r="A68" i="1"/>
  <c r="G32" i="1"/>
  <c r="B58" i="1"/>
  <c r="F26" i="1"/>
  <c r="A81" i="1"/>
  <c r="C5" i="1"/>
  <c r="D13" i="1"/>
  <c r="A78" i="1"/>
  <c r="B76" i="1"/>
  <c r="C24" i="1"/>
  <c r="G6" i="1"/>
  <c r="B69" i="1"/>
  <c r="G30" i="1"/>
  <c r="B31" i="1"/>
  <c r="A65" i="1"/>
  <c r="G17" i="1"/>
  <c r="F32" i="1"/>
  <c r="C12" i="1"/>
  <c r="A58" i="1"/>
  <c r="B23" i="1"/>
  <c r="B35" i="1"/>
  <c r="B6" i="1"/>
  <c r="A54" i="1"/>
  <c r="A67" i="1"/>
  <c r="B51" i="1"/>
  <c r="A61" i="1"/>
  <c r="B80" i="1"/>
  <c r="D5" i="1"/>
  <c r="B24" i="1"/>
  <c r="D24" i="1"/>
  <c r="G28" i="1"/>
  <c r="B61" i="1"/>
  <c r="B63" i="1"/>
  <c r="C16" i="1"/>
  <c r="C13" i="1"/>
  <c r="C19" i="1"/>
  <c r="A69" i="1"/>
  <c r="C27" i="1"/>
  <c r="A66" i="1"/>
  <c r="A73" i="1"/>
  <c r="B30" i="1"/>
  <c r="B55" i="1"/>
  <c r="C35" i="1"/>
  <c r="C31" i="1"/>
  <c r="C20" i="1"/>
  <c r="B11" i="1"/>
  <c r="B16" i="1"/>
  <c r="B25" i="1"/>
  <c r="C21" i="1"/>
  <c r="B71" i="1"/>
  <c r="B54" i="1"/>
  <c r="F31" i="1"/>
  <c r="B75" i="1"/>
  <c r="A63" i="1"/>
  <c r="A71" i="1"/>
  <c r="B81" i="1"/>
  <c r="C34" i="1"/>
  <c r="C33" i="1"/>
  <c r="B19" i="1"/>
  <c r="B56" i="1"/>
  <c r="A51" i="1"/>
  <c r="F29" i="1"/>
  <c r="B17" i="1"/>
  <c r="G25" i="1"/>
  <c r="C18" i="1"/>
  <c r="C22" i="1"/>
  <c r="C14" i="1"/>
  <c r="B7" i="1"/>
  <c r="G13" i="1"/>
  <c r="B20" i="1"/>
  <c r="B14" i="1"/>
  <c r="B10" i="1"/>
  <c r="A80" i="1"/>
  <c r="G35" i="1"/>
  <c r="G61" i="1" l="1"/>
  <c r="D61" i="1"/>
  <c r="D52" i="1"/>
  <c r="G52" i="1"/>
  <c r="G69" i="1"/>
  <c r="D69" i="1"/>
  <c r="G66" i="1"/>
  <c r="D66" i="1"/>
  <c r="G58" i="1"/>
  <c r="D58" i="1"/>
  <c r="G75" i="1"/>
  <c r="D75" i="1"/>
  <c r="G54" i="1"/>
  <c r="D54" i="1"/>
  <c r="G71" i="1"/>
  <c r="D71" i="1"/>
  <c r="G62" i="1"/>
  <c r="D62" i="1"/>
  <c r="D56" i="1"/>
  <c r="G56" i="1"/>
  <c r="G65" i="1"/>
  <c r="D65" i="1"/>
  <c r="G63" i="1"/>
  <c r="D63" i="1"/>
  <c r="G80" i="1"/>
  <c r="D80" i="1"/>
  <c r="G76" i="1"/>
  <c r="D76" i="1"/>
  <c r="G72" i="1"/>
  <c r="D72" i="1"/>
  <c r="D81" i="1"/>
  <c r="G81" i="1"/>
  <c r="D78" i="1"/>
  <c r="G78" i="1"/>
  <c r="G55" i="1"/>
  <c r="D55" i="1"/>
  <c r="G51" i="1"/>
  <c r="D51" i="1"/>
  <c r="G68" i="1"/>
  <c r="D68" i="1"/>
  <c r="D64" i="1"/>
  <c r="G64" i="1"/>
  <c r="D74" i="1"/>
  <c r="G74" i="1"/>
  <c r="H69" i="1" l="1"/>
  <c r="H54" i="1"/>
  <c r="H66" i="1"/>
  <c r="H71" i="1"/>
  <c r="H68" i="1"/>
  <c r="H63" i="1"/>
  <c r="H62" i="1"/>
  <c r="H55" i="1"/>
  <c r="H51" i="1"/>
  <c r="H80" i="1"/>
  <c r="H75" i="1"/>
  <c r="H76" i="1"/>
  <c r="H65" i="1"/>
  <c r="H61" i="1"/>
  <c r="H58" i="1"/>
  <c r="H81" i="1"/>
  <c r="H52" i="1"/>
  <c r="H72" i="1"/>
  <c r="H56" i="1"/>
  <c r="H78" i="1"/>
  <c r="H74" i="1"/>
  <c r="H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Toledo_Water</author>
  </authors>
  <commentList>
    <comment ref="K1" authorId="0" shapeId="0" xr:uid="{00000000-0006-0000-0100-000001000000}">
      <text>
        <r>
          <rPr>
            <sz val="8"/>
            <rFont val="Tahoma"/>
            <family val="2"/>
          </rPr>
          <t xml:space="preserve">Turbidity reading of the 4-hour interval having the HIGHEST recorded turbidity value.
</t>
        </r>
      </text>
    </comment>
    <comment ref="R1" authorId="0" shapeId="0" xr:uid="{00000000-0006-0000-0100-000002000000}">
      <text>
        <r>
          <rPr>
            <sz val="8"/>
            <rFont val="Tahoma"/>
            <family val="2"/>
          </rPr>
          <t>HOUR of  the 4-hour interval having the LOWEST recorded CL2 value.</t>
        </r>
      </text>
    </comment>
    <comment ref="S1" authorId="0" shapeId="0" xr:uid="{00000000-0006-0000-0100-000003000000}">
      <text>
        <r>
          <rPr>
            <sz val="8"/>
            <rFont val="Tahoma"/>
            <family val="2"/>
          </rPr>
          <t>CL2 reading of the 4-hour interval having the LOWEST recorded CL2 value.</t>
        </r>
      </text>
    </comment>
  </commentList>
</comments>
</file>

<file path=xl/sharedStrings.xml><?xml version="1.0" encoding="utf-8"?>
<sst xmlns="http://schemas.openxmlformats.org/spreadsheetml/2006/main" count="120" uniqueCount="80">
  <si>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</si>
  <si>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t>4 AM                 [NTU]</t>
  </si>
  <si>
    <t>8 AM           [NTU]</t>
  </si>
  <si>
    <t>Conventional or Direct Filtration</t>
  </si>
  <si>
    <t>NOON            [NTU]</t>
  </si>
  <si>
    <r>
      <t xml:space="preserve">CHLOR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[ppm]</t>
    </r>
  </si>
  <si>
    <r>
      <t xml:space="preserve">CHLOR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[ppm]</t>
    </r>
  </si>
  <si>
    <t>Monthly Summary (Answer Yes or No)</t>
  </si>
  <si>
    <t>[minutes]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</si>
  <si>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</si>
  <si>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r>
      <t xml:space="preserve">CHLOR </t>
    </r>
    <r>
      <rPr>
        <b/>
        <sz val="10"/>
        <color theme="0"/>
        <rFont val="Arial"/>
        <family val="2"/>
      </rPr>
      <t xml:space="preserve">         LOWEST DAILY</t>
    </r>
    <r>
      <rPr>
        <sz val="10"/>
        <color theme="0"/>
        <rFont val="Arial"/>
        <family val="2"/>
      </rPr>
      <t xml:space="preserve"> [ppm]</t>
    </r>
  </si>
  <si>
    <t>Temp</t>
  </si>
  <si>
    <t>MONTH</t>
  </si>
  <si>
    <t>Day</t>
  </si>
  <si>
    <t>Required CT</t>
  </si>
  <si>
    <t xml:space="preserve">System Name: </t>
  </si>
  <si>
    <t xml:space="preserve">Notes: 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</si>
  <si>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</si>
  <si>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12 AM               [NTU]</t>
  </si>
  <si>
    <t>8 PM          [NTU]</t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</si>
  <si>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</rPr>
      <t xml:space="preserve"> 
dwp.dmce@state.or.us; 971-673-0694; or Drinking Water Services, PO Box 14350, Portland, OR  97293-0350</t>
    </r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</si>
  <si>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</si>
  <si>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Month/Year:</t>
  </si>
  <si>
    <t>95% of 4-hour turbidity readings ≤ 0.3 NTU?</t>
  </si>
  <si>
    <t>Lincoln</t>
  </si>
  <si>
    <r>
      <t xml:space="preserve">TURB </t>
    </r>
    <r>
      <rPr>
        <b/>
        <sz val="10"/>
        <rFont val="Arial"/>
        <family val="2"/>
      </rPr>
      <t xml:space="preserve">        12 AM </t>
    </r>
    <r>
      <rPr>
        <sz val="10"/>
        <rFont val="Arial"/>
      </rPr>
      <t xml:space="preserve">  [NTU]</t>
    </r>
  </si>
  <si>
    <r>
      <t xml:space="preserve">TURB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[NTU]</t>
    </r>
  </si>
  <si>
    <r>
      <t xml:space="preserve">TURB       </t>
    </r>
    <r>
      <rPr>
        <b/>
        <sz val="10"/>
        <color theme="0"/>
        <rFont val="Arial"/>
        <family val="2"/>
      </rPr>
      <t>HIGHEST DAILY</t>
    </r>
    <r>
      <rPr>
        <sz val="10"/>
        <color theme="0"/>
        <rFont val="Arial"/>
        <family val="2"/>
      </rPr>
      <t xml:space="preserve"> [NTU]</t>
    </r>
  </si>
  <si>
    <r>
      <t xml:space="preserve">CHLOR          </t>
    </r>
    <r>
      <rPr>
        <b/>
        <sz val="10"/>
        <rFont val="Arial"/>
        <family val="2"/>
      </rPr>
      <t>8 PM</t>
    </r>
    <r>
      <rPr>
        <sz val="10"/>
        <rFont val="Arial"/>
      </rPr>
      <t xml:space="preserve">   [ppm]</t>
    </r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</si>
  <si>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[MIN]</t>
    </r>
  </si>
  <si>
    <t>OHA - Drinking Water Program - Surface Water Quality Data Form</t>
  </si>
  <si>
    <t>WTP - :</t>
  </si>
  <si>
    <t xml:space="preserve">All Cl2 residual at entry point
  ≥ 0.2 mg/l? </t>
  </si>
  <si>
    <r>
      <t xml:space="preserve">TURB       </t>
    </r>
    <r>
      <rPr>
        <b/>
        <sz val="10"/>
        <color theme="1"/>
        <rFont val="Arial"/>
        <family val="2"/>
      </rPr>
      <t>HIGHEST DAILY</t>
    </r>
    <r>
      <rPr>
        <sz val="10"/>
        <color theme="1"/>
        <rFont val="Arial"/>
        <family val="2"/>
      </rPr>
      <t xml:space="preserve"> [HOUR]</t>
    </r>
  </si>
  <si>
    <t>County:</t>
  </si>
  <si>
    <t>Actual CT</t>
  </si>
  <si>
    <r>
      <t xml:space="preserve">CT Met? </t>
    </r>
    <r>
      <rPr>
        <vertAlign val="superscript"/>
        <sz val="12"/>
        <rFont val="Arial"/>
        <family val="2"/>
      </rPr>
      <t>3</t>
    </r>
  </si>
  <si>
    <r>
      <t xml:space="preserve">TURB          </t>
    </r>
    <r>
      <rPr>
        <b/>
        <sz val="10"/>
        <rFont val="Arial"/>
        <family val="2"/>
      </rPr>
      <t>NOON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</si>
  <si>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 xml:space="preserve">12 AM </t>
    </r>
    <r>
      <rPr>
        <sz val="10"/>
        <rFont val="Arial"/>
      </rPr>
      <t xml:space="preserve">  [ppm]</t>
    </r>
  </si>
  <si>
    <t>Date / Time</t>
  </si>
  <si>
    <t>PAGE 2 of 2</t>
  </si>
  <si>
    <r>
      <t>All turbidity readings &lt; IFE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triggers</t>
    </r>
  </si>
  <si>
    <t>Peak Hourly Demand Flow</t>
  </si>
  <si>
    <t>[° C]</t>
  </si>
  <si>
    <r>
      <t xml:space="preserve">   </t>
    </r>
    <r>
      <rPr>
        <sz val="10"/>
        <rFont val="Arial"/>
      </rPr>
      <t xml:space="preserve">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</rPr>
      <t xml:space="preserve"> IFE = Individ. Filter Effl. (333-061-0040(1)(d)(B&amp;C)) </t>
    </r>
  </si>
  <si>
    <r>
      <t xml:space="preserve">TURB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[NTU]</t>
    </r>
  </si>
  <si>
    <t xml:space="preserve">        PAGE 1 of 2</t>
  </si>
  <si>
    <t>[GPM]</t>
  </si>
  <si>
    <t xml:space="preserve">WTP :  TP - </t>
  </si>
  <si>
    <t>All 4-hour turbidity readings ≤ 1 NTU?</t>
  </si>
  <si>
    <t xml:space="preserve">OHA - Drinking Water Services -Turbidity Monitoring Report Form </t>
  </si>
  <si>
    <t>ID#: 41 00899</t>
  </si>
  <si>
    <r>
      <t xml:space="preserve">TURB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[NTU]</t>
    </r>
  </si>
  <si>
    <r>
      <t xml:space="preserve">CHLOR          </t>
    </r>
    <r>
      <rPr>
        <b/>
        <sz val="10"/>
        <rFont val="Arial"/>
        <family val="2"/>
      </rPr>
      <t>8 AM</t>
    </r>
    <r>
      <rPr>
        <sz val="10"/>
        <rFont val="Arial"/>
      </rPr>
      <t xml:space="preserve">   [ppm]</t>
    </r>
  </si>
  <si>
    <r>
      <t xml:space="preserve">CHLOR </t>
    </r>
    <r>
      <rPr>
        <b/>
        <sz val="10"/>
        <color theme="1"/>
        <rFont val="Arial"/>
        <family val="2"/>
      </rPr>
      <t xml:space="preserve">         LOWEST DAILY</t>
    </r>
    <r>
      <rPr>
        <sz val="10"/>
        <color theme="1"/>
        <rFont val="Arial"/>
        <family val="2"/>
      </rPr>
      <t xml:space="preserve"> [HOUR]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</si>
  <si>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If Cl</t>
    </r>
    <r>
      <rPr>
        <vertAlign val="subscript"/>
        <sz val="10"/>
        <rFont val="Arial"/>
        <family val="2"/>
      </rPr>
      <t>2</t>
    </r>
    <r>
      <rPr>
        <sz val="10"/>
        <rFont val="Arial"/>
      </rPr>
      <t xml:space="preserve"> at entry point &lt; 0.2 mg/l or CT not met, notify DWS within 24 hours.  </t>
    </r>
  </si>
  <si>
    <t>Dec</t>
  </si>
  <si>
    <t>formula</t>
  </si>
  <si>
    <t>[ppm or mg/L]</t>
  </si>
  <si>
    <t>DAY</t>
  </si>
  <si>
    <t>Dec_25</t>
  </si>
  <si>
    <t>pH</t>
  </si>
  <si>
    <t>C X T</t>
  </si>
  <si>
    <t xml:space="preserve">Month/Year: </t>
  </si>
  <si>
    <r>
      <t xml:space="preserve">CHLOR          </t>
    </r>
    <r>
      <rPr>
        <b/>
        <sz val="10"/>
        <rFont val="Arial"/>
        <family val="2"/>
      </rPr>
      <t xml:space="preserve">4 PM </t>
    </r>
    <r>
      <rPr>
        <sz val="10"/>
        <rFont val="Arial"/>
      </rPr>
      <t xml:space="preserve">  [ppm]</t>
    </r>
  </si>
  <si>
    <t>Yes / No</t>
  </si>
  <si>
    <t>Revised September 2016</t>
  </si>
  <si>
    <t>4 PM                 [NTU]</t>
  </si>
  <si>
    <t>CT's met everyday?
 (see back)</t>
  </si>
  <si>
    <r>
      <t xml:space="preserve">      1  </t>
    </r>
    <r>
      <rPr>
        <sz val="10"/>
        <rFont val="Arial"/>
      </rPr>
      <t xml:space="preserve">Including continuous NTU data, if applicable, for optimization recording purposes.  Compliance values in columns 12 AM through 8 PM may not </t>
    </r>
    <r>
      <rPr>
        <b/>
        <sz val="10"/>
        <rFont val="Arial"/>
        <family val="2"/>
      </rPr>
      <t xml:space="preserve">   </t>
    </r>
    <r>
      <rPr>
        <b/>
        <vertAlign val="superscript"/>
        <sz val="10"/>
        <rFont val="Arial"/>
        <family val="2"/>
      </rPr>
      <t xml:space="preserve">             </t>
    </r>
    <r>
      <rPr>
        <vertAlign val="superscript"/>
        <sz val="10"/>
        <rFont val="Arial"/>
        <family val="2"/>
      </rPr>
      <t xml:space="preserve"> </t>
    </r>
  </si>
  <si>
    <t>Toledo Water Utilities</t>
  </si>
  <si>
    <r>
      <t xml:space="preserve">TURB          </t>
    </r>
    <r>
      <rPr>
        <b/>
        <sz val="10"/>
        <rFont val="Arial"/>
        <family val="2"/>
      </rPr>
      <t xml:space="preserve">4 AM  </t>
    </r>
    <r>
      <rPr>
        <sz val="10"/>
        <rFont val="Arial"/>
      </rPr>
      <t xml:space="preserve">  [NTU]</t>
    </r>
  </si>
  <si>
    <r>
      <t xml:space="preserve">CHLOR          LOWEST DAILY </t>
    </r>
    <r>
      <rPr>
        <b/>
        <i/>
        <sz val="10"/>
        <rFont val="Arial"/>
        <family val="2"/>
      </rPr>
      <t>(Rounded)</t>
    </r>
  </si>
  <si>
    <t xml:space="preserve">Yes </t>
  </si>
  <si>
    <t>A</t>
  </si>
  <si>
    <t>PRINTED NAME:Zachary J Dues</t>
  </si>
  <si>
    <t>SIGNATURE:Zachary J Dues</t>
  </si>
  <si>
    <t>PHONE #: (541)336-2610</t>
  </si>
  <si>
    <t>DATE:01/05/2026</t>
  </si>
  <si>
    <t>CERT #:269781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</si>
</sst>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h:mm;@"/>
    <numFmt numFmtId="166" formatCode="0.000"/>
    <numFmt numFmtId="167" formatCode="0.00000"/>
  </numFmts>
  <fonts count="21" x14ac:knownFonts="1">
    <font>
      <sz val="10"/>
      <name val="Arial"/>
    </font>
    <font>
      <b/>
      <sz val="9"/>
      <name val="Arial"/>
      <family val="2"/>
    </font>
    <font>
      <b/>
      <vertAlign val="superscript"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8"/>
      <name val="Tahoma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vertAlign val="superscript"/>
      <sz val="12"/>
      <name val="Arial"/>
      <family val="2"/>
    </font>
    <font>
      <vertAlign val="subscript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03103732413709"/>
        <bgColor indexed="64"/>
      </patternFill>
    </fill>
    <fill>
      <patternFill patternType="solid">
        <fgColor theme="6" tint="-0.24903103732413709"/>
        <bgColor indexed="64"/>
      </patternFill>
    </fill>
    <fill>
      <patternFill patternType="solid">
        <fgColor theme="8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Border="1" applyAlignment="1">
      <alignment horizontal="center"/>
    </xf>
    <xf numFmtId="166" fontId="0" fillId="0" borderId="0" xfId="0" applyNumberFormat="1" applyBorder="1" applyAlignment="1">
      <alignment horizontal="center"/>
    </xf>
    <xf numFmtId="0" fontId="0" fillId="0" borderId="0" xfId="0" applyBorder="1" applyProtection="1"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0" xfId="0" applyFont="1" applyBorder="1"/>
    <xf numFmtId="0" fontId="4" fillId="0" borderId="4" xfId="0" applyFont="1" applyBorder="1" applyAlignment="1" applyProtection="1">
      <alignment horizontal="center" vertical="center" wrapText="1"/>
      <protection locked="0"/>
    </xf>
    <xf numFmtId="49" fontId="0" fillId="2" borderId="0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 applyProtection="1">
      <alignment horizontal="center"/>
      <protection locked="0"/>
    </xf>
    <xf numFmtId="49" fontId="0" fillId="3" borderId="0" xfId="0" applyNumberFormat="1" applyFont="1" applyFill="1" applyBorder="1" applyAlignment="1">
      <alignment horizontal="center" vertical="top"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>
      <alignment horizontal="center"/>
    </xf>
    <xf numFmtId="0" fontId="5" fillId="0" borderId="3" xfId="0" applyFont="1" applyBorder="1" applyAlignment="1" applyProtection="1">
      <alignment vertical="center"/>
      <protection locked="0"/>
    </xf>
    <xf numFmtId="0" fontId="6" fillId="0" borderId="13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/>
    <xf numFmtId="164" fontId="4" fillId="0" borderId="6" xfId="0" applyNumberFormat="1" applyFont="1" applyBorder="1" applyAlignment="1" applyProtection="1">
      <alignment horizontal="center"/>
    </xf>
    <xf numFmtId="0" fontId="0" fillId="0" borderId="0" xfId="0" applyBorder="1"/>
    <xf numFmtId="2" fontId="4" fillId="0" borderId="5" xfId="0" applyNumberFormat="1" applyFont="1" applyBorder="1" applyAlignment="1" applyProtection="1">
      <alignment horizontal="center"/>
      <protection locked="0"/>
    </xf>
    <xf numFmtId="2" fontId="4" fillId="0" borderId="17" xfId="0" applyNumberFormat="1" applyFont="1" applyBorder="1" applyAlignment="1" applyProtection="1">
      <alignment horizontal="center"/>
      <protection locked="0"/>
    </xf>
    <xf numFmtId="49" fontId="9" fillId="4" borderId="0" xfId="0" applyNumberFormat="1" applyFont="1" applyFill="1" applyBorder="1" applyAlignment="1">
      <alignment horizontal="center" vertical="top" wrapText="1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49" fontId="10" fillId="5" borderId="0" xfId="0" applyNumberFormat="1" applyFont="1" applyFill="1" applyBorder="1" applyAlignment="1">
      <alignment horizontal="center" vertical="top" wrapText="1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2" fontId="4" fillId="0" borderId="0" xfId="0" applyNumberFormat="1" applyFont="1" applyBorder="1" applyAlignment="1" applyProtection="1">
      <alignment horizontal="center"/>
      <protection locked="0"/>
    </xf>
    <xf numFmtId="2" fontId="0" fillId="0" borderId="0" xfId="0" applyNumberFormat="1" applyBorder="1" applyAlignment="1">
      <alignment horizontal="center"/>
    </xf>
    <xf numFmtId="0" fontId="4" fillId="0" borderId="26" xfId="0" applyFont="1" applyBorder="1" applyAlignment="1" applyProtection="1">
      <alignment horizontal="center"/>
      <protection locked="0"/>
    </xf>
    <xf numFmtId="0" fontId="6" fillId="0" borderId="26" xfId="0" applyNumberFormat="1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/>
    </xf>
    <xf numFmtId="0" fontId="4" fillId="0" borderId="28" xfId="0" applyFont="1" applyBorder="1" applyAlignment="1" applyProtection="1">
      <alignment horizontal="center"/>
      <protection locked="0"/>
    </xf>
    <xf numFmtId="164" fontId="5" fillId="0" borderId="2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1" fontId="0" fillId="0" borderId="0" xfId="0" applyNumberFormat="1" applyBorder="1" applyAlignment="1">
      <alignment horizontal="center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2" fontId="4" fillId="0" borderId="31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49" fontId="10" fillId="6" borderId="0" xfId="0" applyNumberFormat="1" applyFont="1" applyFill="1" applyBorder="1" applyAlignment="1">
      <alignment horizontal="center" vertical="top" wrapText="1"/>
    </xf>
    <xf numFmtId="164" fontId="4" fillId="0" borderId="34" xfId="0" applyNumberFormat="1" applyFont="1" applyBorder="1" applyAlignment="1" applyProtection="1">
      <alignment horizontal="center"/>
    </xf>
    <xf numFmtId="0" fontId="7" fillId="0" borderId="0" xfId="0" applyFo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2" fontId="4" fillId="0" borderId="38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wrapText="1"/>
      <protection locked="0"/>
    </xf>
    <xf numFmtId="49" fontId="0" fillId="0" borderId="0" xfId="0" applyNumberFormat="1" applyBorder="1" applyAlignment="1">
      <alignment horizontal="center" vertical="top" wrapText="1"/>
    </xf>
    <xf numFmtId="49" fontId="9" fillId="7" borderId="0" xfId="0" applyNumberFormat="1" applyFont="1" applyFill="1" applyBorder="1" applyAlignment="1">
      <alignment horizontal="center" vertical="top" wrapText="1"/>
    </xf>
    <xf numFmtId="0" fontId="4" fillId="0" borderId="40" xfId="0" applyFont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Border="1" applyAlignment="1">
      <alignment horizontal="center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164" fontId="4" fillId="0" borderId="29" xfId="0" applyNumberFormat="1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  <xf numFmtId="2" fontId="4" fillId="0" borderId="49" xfId="0" applyNumberFormat="1" applyFont="1" applyBorder="1" applyAlignment="1" applyProtection="1">
      <alignment horizont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165" fontId="0" fillId="0" borderId="0" xfId="0" applyNumberFormat="1" applyFont="1" applyBorder="1" applyAlignment="1" applyProtection="1">
      <alignment horizontal="left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17" fontId="7" fillId="0" borderId="4" xfId="0" applyNumberFormat="1" applyFont="1" applyBorder="1" applyAlignment="1" applyProtection="1">
      <alignment horizontal="center"/>
      <protection locked="0"/>
    </xf>
    <xf numFmtId="0" fontId="6" fillId="0" borderId="28" xfId="0" applyNumberFormat="1" applyFont="1" applyBorder="1" applyAlignment="1" applyProtection="1">
      <alignment horizontal="center"/>
      <protection locked="0"/>
    </xf>
    <xf numFmtId="164" fontId="4" fillId="0" borderId="31" xfId="0" applyNumberFormat="1" applyFont="1" applyBorder="1" applyAlignment="1" applyProtection="1">
      <alignment horizontal="center"/>
      <protection locked="0"/>
    </xf>
    <xf numFmtId="167" fontId="7" fillId="0" borderId="0" xfId="0" applyNumberFormat="1" applyFont="1" applyBorder="1" applyAlignment="1">
      <alignment horizontal="center"/>
    </xf>
    <xf numFmtId="164" fontId="4" fillId="0" borderId="55" xfId="0" applyNumberFormat="1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64" fontId="4" fillId="0" borderId="17" xfId="0" applyNumberFormat="1" applyFont="1" applyBorder="1" applyAlignment="1" applyProtection="1">
      <alignment horizontal="center"/>
    </xf>
    <xf numFmtId="49" fontId="7" fillId="7" borderId="0" xfId="0" applyNumberFormat="1" applyFont="1" applyFill="1" applyBorder="1" applyAlignment="1">
      <alignment horizontal="center" vertical="top" wrapText="1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5" fillId="0" borderId="57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5" fillId="0" borderId="33" xfId="0" applyFont="1" applyBorder="1" applyAlignment="1" applyProtection="1">
      <alignment horizontal="right" vertical="center"/>
      <protection locked="0"/>
    </xf>
    <xf numFmtId="2" fontId="4" fillId="0" borderId="59" xfId="0" applyNumberFormat="1" applyFont="1" applyBorder="1" applyAlignment="1" applyProtection="1">
      <alignment horizontal="center"/>
      <protection locked="0"/>
    </xf>
    <xf numFmtId="0" fontId="4" fillId="0" borderId="60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0" fillId="0" borderId="11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0" fillId="0" borderId="10" xfId="0" applyBorder="1" applyProtection="1">
      <protection locked="0"/>
    </xf>
    <xf numFmtId="0" fontId="5" fillId="0" borderId="53" xfId="0" applyFont="1" applyBorder="1" applyAlignment="1" applyProtection="1">
      <alignment wrapText="1"/>
      <protection locked="0"/>
    </xf>
    <xf numFmtId="0" fontId="5" fillId="0" borderId="18" xfId="0" applyFont="1" applyBorder="1" applyAlignment="1" applyProtection="1">
      <alignment wrapText="1"/>
      <protection locked="0"/>
    </xf>
    <xf numFmtId="0" fontId="5" fillId="0" borderId="12" xfId="0" applyFont="1" applyBorder="1" applyAlignment="1" applyProtection="1">
      <alignment wrapText="1"/>
      <protection locked="0"/>
    </xf>
    <xf numFmtId="0" fontId="5" fillId="0" borderId="32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protection locked="0"/>
    </xf>
    <xf numFmtId="0" fontId="4" fillId="0" borderId="43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5" fillId="0" borderId="37" xfId="0" applyFont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protection locked="0"/>
    </xf>
    <xf numFmtId="0" fontId="4" fillId="0" borderId="39" xfId="0" applyFont="1" applyBorder="1" applyAlignment="1" applyProtection="1">
      <protection locked="0"/>
    </xf>
    <xf numFmtId="2" fontId="4" fillId="0" borderId="46" xfId="0" applyNumberFormat="1" applyFont="1" applyBorder="1" applyAlignment="1" applyProtection="1">
      <alignment horizontal="center"/>
      <protection locked="0"/>
    </xf>
    <xf numFmtId="2" fontId="4" fillId="0" borderId="35" xfId="0" applyNumberFormat="1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41" xfId="0" applyFont="1" applyBorder="1" applyAlignment="1" applyProtection="1">
      <alignment horizontal="center"/>
      <protection locked="0"/>
    </xf>
    <xf numFmtId="0" fontId="5" fillId="0" borderId="52" xfId="0" applyFont="1" applyBorder="1" applyAlignment="1" applyProtection="1">
      <alignment horizontal="center" wrapText="1"/>
      <protection locked="0"/>
    </xf>
    <xf numFmtId="0" fontId="5" fillId="0" borderId="15" xfId="0" applyFont="1" applyBorder="1" applyAlignment="1" applyProtection="1">
      <alignment horizontal="center" wrapText="1"/>
      <protection locked="0"/>
    </xf>
    <xf numFmtId="0" fontId="5" fillId="0" borderId="21" xfId="0" applyFont="1" applyBorder="1" applyAlignment="1" applyProtection="1">
      <alignment horizont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2" fontId="4" fillId="0" borderId="24" xfId="0" applyNumberFormat="1" applyFont="1" applyBorder="1" applyAlignment="1" applyProtection="1">
      <alignment horizontal="center"/>
      <protection locked="0"/>
    </xf>
    <xf numFmtId="2" fontId="4" fillId="0" borderId="27" xfId="0" applyNumberFormat="1" applyFont="1" applyBorder="1" applyAlignment="1" applyProtection="1">
      <alignment horizontal="center"/>
      <protection locked="0"/>
    </xf>
    <xf numFmtId="2" fontId="4" fillId="0" borderId="20" xfId="0" applyNumberFormat="1" applyFont="1" applyBorder="1" applyAlignment="1" applyProtection="1">
      <alignment horizontal="center"/>
      <protection locked="0"/>
    </xf>
    <xf numFmtId="2" fontId="4" fillId="0" borderId="56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protection locked="0"/>
    </xf>
    <xf numFmtId="49" fontId="0" fillId="0" borderId="7" xfId="0" applyNumberFormat="1" applyBorder="1" applyAlignment="1" applyProtection="1"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57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view="pageBreakPreview" topLeftCell="A23" zoomScale="75" workbookViewId="0">
      <selection activeCell="I47" sqref="I47"/>
    </sheetView>
  </sheetViews>
  <sheetFormatPr defaultRowHeight="12.75" x14ac:dyDescent="0.2"/>
  <cols>
    <col min="1" max="1" width="15.85546875" style="11" customWidth="1"/>
    <col min="2" max="7" width="14.5703125" style="11" customWidth="1"/>
    <col min="8" max="8" width="19.85546875" style="11" customWidth="1"/>
    <col min="9" max="9" width="17.5703125" style="11" customWidth="1"/>
    <col min="10" max="256" width="8.85546875" style="11"/>
    <col min="257" max="257" width="15.85546875" style="11" customWidth="1"/>
    <col min="258" max="263" width="14.5703125" style="11" customWidth="1"/>
    <col min="264" max="264" width="19.85546875" style="11" customWidth="1"/>
    <col min="265" max="265" width="17.5703125" style="11" customWidth="1"/>
    <col min="266" max="512" width="8.85546875" style="11"/>
    <col min="513" max="513" width="15.85546875" style="11" customWidth="1"/>
    <col min="514" max="519" width="14.5703125" style="11" customWidth="1"/>
    <col min="520" max="520" width="19.85546875" style="11" customWidth="1"/>
    <col min="521" max="521" width="17.5703125" style="11" customWidth="1"/>
    <col min="522" max="768" width="8.85546875" style="11"/>
    <col min="769" max="769" width="15.85546875" style="11" customWidth="1"/>
    <col min="770" max="775" width="14.5703125" style="11" customWidth="1"/>
    <col min="776" max="776" width="19.85546875" style="11" customWidth="1"/>
    <col min="777" max="777" width="17.5703125" style="11" customWidth="1"/>
    <col min="778" max="1024" width="8.85546875" style="11"/>
    <col min="1025" max="1025" width="15.85546875" style="11" customWidth="1"/>
    <col min="1026" max="1031" width="14.5703125" style="11" customWidth="1"/>
    <col min="1032" max="1032" width="19.85546875" style="11" customWidth="1"/>
    <col min="1033" max="1033" width="17.5703125" style="11" customWidth="1"/>
    <col min="1034" max="1280" width="8.85546875" style="11"/>
    <col min="1281" max="1281" width="15.85546875" style="11" customWidth="1"/>
    <col min="1282" max="1287" width="14.5703125" style="11" customWidth="1"/>
    <col min="1288" max="1288" width="19.85546875" style="11" customWidth="1"/>
    <col min="1289" max="1289" width="17.5703125" style="11" customWidth="1"/>
    <col min="1290" max="1536" width="8.85546875" style="11"/>
    <col min="1537" max="1537" width="15.85546875" style="11" customWidth="1"/>
    <col min="1538" max="1543" width="14.5703125" style="11" customWidth="1"/>
    <col min="1544" max="1544" width="19.85546875" style="11" customWidth="1"/>
    <col min="1545" max="1545" width="17.5703125" style="11" customWidth="1"/>
    <col min="1546" max="1792" width="8.85546875" style="11"/>
    <col min="1793" max="1793" width="15.85546875" style="11" customWidth="1"/>
    <col min="1794" max="1799" width="14.5703125" style="11" customWidth="1"/>
    <col min="1800" max="1800" width="19.85546875" style="11" customWidth="1"/>
    <col min="1801" max="1801" width="17.5703125" style="11" customWidth="1"/>
    <col min="1802" max="2048" width="8.85546875" style="11"/>
    <col min="2049" max="2049" width="15.85546875" style="11" customWidth="1"/>
    <col min="2050" max="2055" width="14.5703125" style="11" customWidth="1"/>
    <col min="2056" max="2056" width="19.85546875" style="11" customWidth="1"/>
    <col min="2057" max="2057" width="17.5703125" style="11" customWidth="1"/>
    <col min="2058" max="2304" width="8.85546875" style="11"/>
    <col min="2305" max="2305" width="15.85546875" style="11" customWidth="1"/>
    <col min="2306" max="2311" width="14.5703125" style="11" customWidth="1"/>
    <col min="2312" max="2312" width="19.85546875" style="11" customWidth="1"/>
    <col min="2313" max="2313" width="17.5703125" style="11" customWidth="1"/>
    <col min="2314" max="2560" width="8.85546875" style="11"/>
    <col min="2561" max="2561" width="15.85546875" style="11" customWidth="1"/>
    <col min="2562" max="2567" width="14.5703125" style="11" customWidth="1"/>
    <col min="2568" max="2568" width="19.85546875" style="11" customWidth="1"/>
    <col min="2569" max="2569" width="17.5703125" style="11" customWidth="1"/>
    <col min="2570" max="2816" width="8.85546875" style="11"/>
    <col min="2817" max="2817" width="15.85546875" style="11" customWidth="1"/>
    <col min="2818" max="2823" width="14.5703125" style="11" customWidth="1"/>
    <col min="2824" max="2824" width="19.85546875" style="11" customWidth="1"/>
    <col min="2825" max="2825" width="17.5703125" style="11" customWidth="1"/>
    <col min="2826" max="3072" width="8.85546875" style="11"/>
    <col min="3073" max="3073" width="15.85546875" style="11" customWidth="1"/>
    <col min="3074" max="3079" width="14.5703125" style="11" customWidth="1"/>
    <col min="3080" max="3080" width="19.85546875" style="11" customWidth="1"/>
    <col min="3081" max="3081" width="17.5703125" style="11" customWidth="1"/>
    <col min="3082" max="3328" width="8.85546875" style="11"/>
    <col min="3329" max="3329" width="15.85546875" style="11" customWidth="1"/>
    <col min="3330" max="3335" width="14.5703125" style="11" customWidth="1"/>
    <col min="3336" max="3336" width="19.85546875" style="11" customWidth="1"/>
    <col min="3337" max="3337" width="17.5703125" style="11" customWidth="1"/>
    <col min="3338" max="3584" width="8.85546875" style="11"/>
    <col min="3585" max="3585" width="15.85546875" style="11" customWidth="1"/>
    <col min="3586" max="3591" width="14.5703125" style="11" customWidth="1"/>
    <col min="3592" max="3592" width="19.85546875" style="11" customWidth="1"/>
    <col min="3593" max="3593" width="17.5703125" style="11" customWidth="1"/>
    <col min="3594" max="3840" width="8.85546875" style="11"/>
    <col min="3841" max="3841" width="15.85546875" style="11" customWidth="1"/>
    <col min="3842" max="3847" width="14.5703125" style="11" customWidth="1"/>
    <col min="3848" max="3848" width="19.85546875" style="11" customWidth="1"/>
    <col min="3849" max="3849" width="17.5703125" style="11" customWidth="1"/>
    <col min="3850" max="4096" width="8.85546875" style="11"/>
    <col min="4097" max="4097" width="15.85546875" style="11" customWidth="1"/>
    <col min="4098" max="4103" width="14.5703125" style="11" customWidth="1"/>
    <col min="4104" max="4104" width="19.85546875" style="11" customWidth="1"/>
    <col min="4105" max="4105" width="17.5703125" style="11" customWidth="1"/>
    <col min="4106" max="4352" width="8.85546875" style="11"/>
    <col min="4353" max="4353" width="15.85546875" style="11" customWidth="1"/>
    <col min="4354" max="4359" width="14.5703125" style="11" customWidth="1"/>
    <col min="4360" max="4360" width="19.85546875" style="11" customWidth="1"/>
    <col min="4361" max="4361" width="17.5703125" style="11" customWidth="1"/>
    <col min="4362" max="4608" width="8.85546875" style="11"/>
    <col min="4609" max="4609" width="15.85546875" style="11" customWidth="1"/>
    <col min="4610" max="4615" width="14.5703125" style="11" customWidth="1"/>
    <col min="4616" max="4616" width="19.85546875" style="11" customWidth="1"/>
    <col min="4617" max="4617" width="17.5703125" style="11" customWidth="1"/>
    <col min="4618" max="4864" width="8.85546875" style="11"/>
    <col min="4865" max="4865" width="15.85546875" style="11" customWidth="1"/>
    <col min="4866" max="4871" width="14.5703125" style="11" customWidth="1"/>
    <col min="4872" max="4872" width="19.85546875" style="11" customWidth="1"/>
    <col min="4873" max="4873" width="17.5703125" style="11" customWidth="1"/>
    <col min="4874" max="5120" width="8.85546875" style="11"/>
    <col min="5121" max="5121" width="15.85546875" style="11" customWidth="1"/>
    <col min="5122" max="5127" width="14.5703125" style="11" customWidth="1"/>
    <col min="5128" max="5128" width="19.85546875" style="11" customWidth="1"/>
    <col min="5129" max="5129" width="17.5703125" style="11" customWidth="1"/>
    <col min="5130" max="5376" width="8.85546875" style="11"/>
    <col min="5377" max="5377" width="15.85546875" style="11" customWidth="1"/>
    <col min="5378" max="5383" width="14.5703125" style="11" customWidth="1"/>
    <col min="5384" max="5384" width="19.85546875" style="11" customWidth="1"/>
    <col min="5385" max="5385" width="17.5703125" style="11" customWidth="1"/>
    <col min="5386" max="5632" width="8.85546875" style="11"/>
    <col min="5633" max="5633" width="15.85546875" style="11" customWidth="1"/>
    <col min="5634" max="5639" width="14.5703125" style="11" customWidth="1"/>
    <col min="5640" max="5640" width="19.85546875" style="11" customWidth="1"/>
    <col min="5641" max="5641" width="17.5703125" style="11" customWidth="1"/>
    <col min="5642" max="5888" width="8.85546875" style="11"/>
    <col min="5889" max="5889" width="15.85546875" style="11" customWidth="1"/>
    <col min="5890" max="5895" width="14.5703125" style="11" customWidth="1"/>
    <col min="5896" max="5896" width="19.85546875" style="11" customWidth="1"/>
    <col min="5897" max="5897" width="17.5703125" style="11" customWidth="1"/>
    <col min="5898" max="6144" width="8.85546875" style="11"/>
    <col min="6145" max="6145" width="15.85546875" style="11" customWidth="1"/>
    <col min="6146" max="6151" width="14.5703125" style="11" customWidth="1"/>
    <col min="6152" max="6152" width="19.85546875" style="11" customWidth="1"/>
    <col min="6153" max="6153" width="17.5703125" style="11" customWidth="1"/>
    <col min="6154" max="6400" width="8.85546875" style="11"/>
    <col min="6401" max="6401" width="15.85546875" style="11" customWidth="1"/>
    <col min="6402" max="6407" width="14.5703125" style="11" customWidth="1"/>
    <col min="6408" max="6408" width="19.85546875" style="11" customWidth="1"/>
    <col min="6409" max="6409" width="17.5703125" style="11" customWidth="1"/>
    <col min="6410" max="6656" width="8.85546875" style="11"/>
    <col min="6657" max="6657" width="15.85546875" style="11" customWidth="1"/>
    <col min="6658" max="6663" width="14.5703125" style="11" customWidth="1"/>
    <col min="6664" max="6664" width="19.85546875" style="11" customWidth="1"/>
    <col min="6665" max="6665" width="17.5703125" style="11" customWidth="1"/>
    <col min="6666" max="6912" width="8.85546875" style="11"/>
    <col min="6913" max="6913" width="15.85546875" style="11" customWidth="1"/>
    <col min="6914" max="6919" width="14.5703125" style="11" customWidth="1"/>
    <col min="6920" max="6920" width="19.85546875" style="11" customWidth="1"/>
    <col min="6921" max="6921" width="17.5703125" style="11" customWidth="1"/>
    <col min="6922" max="7168" width="8.85546875" style="11"/>
    <col min="7169" max="7169" width="15.85546875" style="11" customWidth="1"/>
    <col min="7170" max="7175" width="14.5703125" style="11" customWidth="1"/>
    <col min="7176" max="7176" width="19.85546875" style="11" customWidth="1"/>
    <col min="7177" max="7177" width="17.5703125" style="11" customWidth="1"/>
    <col min="7178" max="7424" width="8.85546875" style="11"/>
    <col min="7425" max="7425" width="15.85546875" style="11" customWidth="1"/>
    <col min="7426" max="7431" width="14.5703125" style="11" customWidth="1"/>
    <col min="7432" max="7432" width="19.85546875" style="11" customWidth="1"/>
    <col min="7433" max="7433" width="17.5703125" style="11" customWidth="1"/>
    <col min="7434" max="7680" width="8.85546875" style="11"/>
    <col min="7681" max="7681" width="15.85546875" style="11" customWidth="1"/>
    <col min="7682" max="7687" width="14.5703125" style="11" customWidth="1"/>
    <col min="7688" max="7688" width="19.85546875" style="11" customWidth="1"/>
    <col min="7689" max="7689" width="17.5703125" style="11" customWidth="1"/>
    <col min="7690" max="7936" width="8.85546875" style="11"/>
    <col min="7937" max="7937" width="15.85546875" style="11" customWidth="1"/>
    <col min="7938" max="7943" width="14.5703125" style="11" customWidth="1"/>
    <col min="7944" max="7944" width="19.85546875" style="11" customWidth="1"/>
    <col min="7945" max="7945" width="17.5703125" style="11" customWidth="1"/>
    <col min="7946" max="8192" width="8.85546875" style="11"/>
    <col min="8193" max="8193" width="15.85546875" style="11" customWidth="1"/>
    <col min="8194" max="8199" width="14.5703125" style="11" customWidth="1"/>
    <col min="8200" max="8200" width="19.85546875" style="11" customWidth="1"/>
    <col min="8201" max="8201" width="17.5703125" style="11" customWidth="1"/>
    <col min="8202" max="8448" width="8.85546875" style="11"/>
    <col min="8449" max="8449" width="15.85546875" style="11" customWidth="1"/>
    <col min="8450" max="8455" width="14.5703125" style="11" customWidth="1"/>
    <col min="8456" max="8456" width="19.85546875" style="11" customWidth="1"/>
    <col min="8457" max="8457" width="17.5703125" style="11" customWidth="1"/>
    <col min="8458" max="8704" width="8.85546875" style="11"/>
    <col min="8705" max="8705" width="15.85546875" style="11" customWidth="1"/>
    <col min="8706" max="8711" width="14.5703125" style="11" customWidth="1"/>
    <col min="8712" max="8712" width="19.85546875" style="11" customWidth="1"/>
    <col min="8713" max="8713" width="17.5703125" style="11" customWidth="1"/>
    <col min="8714" max="8960" width="8.85546875" style="11"/>
    <col min="8961" max="8961" width="15.85546875" style="11" customWidth="1"/>
    <col min="8962" max="8967" width="14.5703125" style="11" customWidth="1"/>
    <col min="8968" max="8968" width="19.85546875" style="11" customWidth="1"/>
    <col min="8969" max="8969" width="17.5703125" style="11" customWidth="1"/>
    <col min="8970" max="9216" width="8.85546875" style="11"/>
    <col min="9217" max="9217" width="15.85546875" style="11" customWidth="1"/>
    <col min="9218" max="9223" width="14.5703125" style="11" customWidth="1"/>
    <col min="9224" max="9224" width="19.85546875" style="11" customWidth="1"/>
    <col min="9225" max="9225" width="17.5703125" style="11" customWidth="1"/>
    <col min="9226" max="9472" width="8.85546875" style="11"/>
    <col min="9473" max="9473" width="15.85546875" style="11" customWidth="1"/>
    <col min="9474" max="9479" width="14.5703125" style="11" customWidth="1"/>
    <col min="9480" max="9480" width="19.85546875" style="11" customWidth="1"/>
    <col min="9481" max="9481" width="17.5703125" style="11" customWidth="1"/>
    <col min="9482" max="9728" width="8.85546875" style="11"/>
    <col min="9729" max="9729" width="15.85546875" style="11" customWidth="1"/>
    <col min="9730" max="9735" width="14.5703125" style="11" customWidth="1"/>
    <col min="9736" max="9736" width="19.85546875" style="11" customWidth="1"/>
    <col min="9737" max="9737" width="17.5703125" style="11" customWidth="1"/>
    <col min="9738" max="9984" width="8.85546875" style="11"/>
    <col min="9985" max="9985" width="15.85546875" style="11" customWidth="1"/>
    <col min="9986" max="9991" width="14.5703125" style="11" customWidth="1"/>
    <col min="9992" max="9992" width="19.85546875" style="11" customWidth="1"/>
    <col min="9993" max="9993" width="17.5703125" style="11" customWidth="1"/>
    <col min="9994" max="10240" width="8.85546875" style="11"/>
    <col min="10241" max="10241" width="15.85546875" style="11" customWidth="1"/>
    <col min="10242" max="10247" width="14.5703125" style="11" customWidth="1"/>
    <col min="10248" max="10248" width="19.85546875" style="11" customWidth="1"/>
    <col min="10249" max="10249" width="17.5703125" style="11" customWidth="1"/>
    <col min="10250" max="10496" width="8.85546875" style="11"/>
    <col min="10497" max="10497" width="15.85546875" style="11" customWidth="1"/>
    <col min="10498" max="10503" width="14.5703125" style="11" customWidth="1"/>
    <col min="10504" max="10504" width="19.85546875" style="11" customWidth="1"/>
    <col min="10505" max="10505" width="17.5703125" style="11" customWidth="1"/>
    <col min="10506" max="10752" width="8.85546875" style="11"/>
    <col min="10753" max="10753" width="15.85546875" style="11" customWidth="1"/>
    <col min="10754" max="10759" width="14.5703125" style="11" customWidth="1"/>
    <col min="10760" max="10760" width="19.85546875" style="11" customWidth="1"/>
    <col min="10761" max="10761" width="17.5703125" style="11" customWidth="1"/>
    <col min="10762" max="11008" width="8.85546875" style="11"/>
    <col min="11009" max="11009" width="15.85546875" style="11" customWidth="1"/>
    <col min="11010" max="11015" width="14.5703125" style="11" customWidth="1"/>
    <col min="11016" max="11016" width="19.85546875" style="11" customWidth="1"/>
    <col min="11017" max="11017" width="17.5703125" style="11" customWidth="1"/>
    <col min="11018" max="11264" width="8.85546875" style="11"/>
    <col min="11265" max="11265" width="15.85546875" style="11" customWidth="1"/>
    <col min="11266" max="11271" width="14.5703125" style="11" customWidth="1"/>
    <col min="11272" max="11272" width="19.85546875" style="11" customWidth="1"/>
    <col min="11273" max="11273" width="17.5703125" style="11" customWidth="1"/>
    <col min="11274" max="11520" width="8.85546875" style="11"/>
    <col min="11521" max="11521" width="15.85546875" style="11" customWidth="1"/>
    <col min="11522" max="11527" width="14.5703125" style="11" customWidth="1"/>
    <col min="11528" max="11528" width="19.85546875" style="11" customWidth="1"/>
    <col min="11529" max="11529" width="17.5703125" style="11" customWidth="1"/>
    <col min="11530" max="11776" width="8.85546875" style="11"/>
    <col min="11777" max="11777" width="15.85546875" style="11" customWidth="1"/>
    <col min="11778" max="11783" width="14.5703125" style="11" customWidth="1"/>
    <col min="11784" max="11784" width="19.85546875" style="11" customWidth="1"/>
    <col min="11785" max="11785" width="17.5703125" style="11" customWidth="1"/>
    <col min="11786" max="12032" width="8.85546875" style="11"/>
    <col min="12033" max="12033" width="15.85546875" style="11" customWidth="1"/>
    <col min="12034" max="12039" width="14.5703125" style="11" customWidth="1"/>
    <col min="12040" max="12040" width="19.85546875" style="11" customWidth="1"/>
    <col min="12041" max="12041" width="17.5703125" style="11" customWidth="1"/>
    <col min="12042" max="12288" width="8.85546875" style="11"/>
    <col min="12289" max="12289" width="15.85546875" style="11" customWidth="1"/>
    <col min="12290" max="12295" width="14.5703125" style="11" customWidth="1"/>
    <col min="12296" max="12296" width="19.85546875" style="11" customWidth="1"/>
    <col min="12297" max="12297" width="17.5703125" style="11" customWidth="1"/>
    <col min="12298" max="12544" width="8.85546875" style="11"/>
    <col min="12545" max="12545" width="15.85546875" style="11" customWidth="1"/>
    <col min="12546" max="12551" width="14.5703125" style="11" customWidth="1"/>
    <col min="12552" max="12552" width="19.85546875" style="11" customWidth="1"/>
    <col min="12553" max="12553" width="17.5703125" style="11" customWidth="1"/>
    <col min="12554" max="12800" width="8.85546875" style="11"/>
    <col min="12801" max="12801" width="15.85546875" style="11" customWidth="1"/>
    <col min="12802" max="12807" width="14.5703125" style="11" customWidth="1"/>
    <col min="12808" max="12808" width="19.85546875" style="11" customWidth="1"/>
    <col min="12809" max="12809" width="17.5703125" style="11" customWidth="1"/>
    <col min="12810" max="13056" width="8.85546875" style="11"/>
    <col min="13057" max="13057" width="15.85546875" style="11" customWidth="1"/>
    <col min="13058" max="13063" width="14.5703125" style="11" customWidth="1"/>
    <col min="13064" max="13064" width="19.85546875" style="11" customWidth="1"/>
    <col min="13065" max="13065" width="17.5703125" style="11" customWidth="1"/>
    <col min="13066" max="13312" width="8.85546875" style="11"/>
    <col min="13313" max="13313" width="15.85546875" style="11" customWidth="1"/>
    <col min="13314" max="13319" width="14.5703125" style="11" customWidth="1"/>
    <col min="13320" max="13320" width="19.85546875" style="11" customWidth="1"/>
    <col min="13321" max="13321" width="17.5703125" style="11" customWidth="1"/>
    <col min="13322" max="13568" width="8.85546875" style="11"/>
    <col min="13569" max="13569" width="15.85546875" style="11" customWidth="1"/>
    <col min="13570" max="13575" width="14.5703125" style="11" customWidth="1"/>
    <col min="13576" max="13576" width="19.85546875" style="11" customWidth="1"/>
    <col min="13577" max="13577" width="17.5703125" style="11" customWidth="1"/>
    <col min="13578" max="13824" width="8.85546875" style="11"/>
    <col min="13825" max="13825" width="15.85546875" style="11" customWidth="1"/>
    <col min="13826" max="13831" width="14.5703125" style="11" customWidth="1"/>
    <col min="13832" max="13832" width="19.85546875" style="11" customWidth="1"/>
    <col min="13833" max="13833" width="17.5703125" style="11" customWidth="1"/>
    <col min="13834" max="14080" width="8.85546875" style="11"/>
    <col min="14081" max="14081" width="15.85546875" style="11" customWidth="1"/>
    <col min="14082" max="14087" width="14.5703125" style="11" customWidth="1"/>
    <col min="14088" max="14088" width="19.85546875" style="11" customWidth="1"/>
    <col min="14089" max="14089" width="17.5703125" style="11" customWidth="1"/>
    <col min="14090" max="14336" width="8.85546875" style="11"/>
    <col min="14337" max="14337" width="15.85546875" style="11" customWidth="1"/>
    <col min="14338" max="14343" width="14.5703125" style="11" customWidth="1"/>
    <col min="14344" max="14344" width="19.85546875" style="11" customWidth="1"/>
    <col min="14345" max="14345" width="17.5703125" style="11" customWidth="1"/>
    <col min="14346" max="14592" width="8.85546875" style="11"/>
    <col min="14593" max="14593" width="15.85546875" style="11" customWidth="1"/>
    <col min="14594" max="14599" width="14.5703125" style="11" customWidth="1"/>
    <col min="14600" max="14600" width="19.85546875" style="11" customWidth="1"/>
    <col min="14601" max="14601" width="17.5703125" style="11" customWidth="1"/>
    <col min="14602" max="14848" width="8.85546875" style="11"/>
    <col min="14849" max="14849" width="15.85546875" style="11" customWidth="1"/>
    <col min="14850" max="14855" width="14.5703125" style="11" customWidth="1"/>
    <col min="14856" max="14856" width="19.85546875" style="11" customWidth="1"/>
    <col min="14857" max="14857" width="17.5703125" style="11" customWidth="1"/>
    <col min="14858" max="15104" width="8.85546875" style="11"/>
    <col min="15105" max="15105" width="15.85546875" style="11" customWidth="1"/>
    <col min="15106" max="15111" width="14.5703125" style="11" customWidth="1"/>
    <col min="15112" max="15112" width="19.85546875" style="11" customWidth="1"/>
    <col min="15113" max="15113" width="17.5703125" style="11" customWidth="1"/>
    <col min="15114" max="15360" width="8.85546875" style="11"/>
    <col min="15361" max="15361" width="15.85546875" style="11" customWidth="1"/>
    <col min="15362" max="15367" width="14.5703125" style="11" customWidth="1"/>
    <col min="15368" max="15368" width="19.85546875" style="11" customWidth="1"/>
    <col min="15369" max="15369" width="17.5703125" style="11" customWidth="1"/>
    <col min="15370" max="15616" width="8.85546875" style="11"/>
    <col min="15617" max="15617" width="15.85546875" style="11" customWidth="1"/>
    <col min="15618" max="15623" width="14.5703125" style="11" customWidth="1"/>
    <col min="15624" max="15624" width="19.85546875" style="11" customWidth="1"/>
    <col min="15625" max="15625" width="17.5703125" style="11" customWidth="1"/>
    <col min="15626" max="15872" width="8.85546875" style="11"/>
    <col min="15873" max="15873" width="15.85546875" style="11" customWidth="1"/>
    <col min="15874" max="15879" width="14.5703125" style="11" customWidth="1"/>
    <col min="15880" max="15880" width="19.85546875" style="11" customWidth="1"/>
    <col min="15881" max="15881" width="17.5703125" style="11" customWidth="1"/>
    <col min="15882" max="16128" width="8.85546875" style="11"/>
    <col min="16129" max="16129" width="15.85546875" style="11" customWidth="1"/>
    <col min="16130" max="16135" width="14.5703125" style="11" customWidth="1"/>
    <col min="16136" max="16136" width="19.85546875" style="11" customWidth="1"/>
    <col min="16137" max="16137" width="17.5703125" style="11" customWidth="1"/>
    <col min="16138" max="16384" width="8.85546875" style="11"/>
  </cols>
  <sheetData>
    <row r="1" spans="1:9" s="49" customFormat="1" ht="20.100000000000001" customHeight="1" x14ac:dyDescent="0.2">
      <c r="A1" s="138" t="s">
        <v>50</v>
      </c>
      <c r="B1" s="138"/>
      <c r="C1" s="138"/>
      <c r="D1" s="138"/>
      <c r="E1" s="138"/>
      <c r="F1" s="138"/>
      <c r="G1" s="138"/>
      <c r="H1" s="85" t="s">
        <v>34</v>
      </c>
      <c r="I1" s="44" t="s">
        <v>24</v>
      </c>
    </row>
    <row r="2" spans="1:9" s="49" customFormat="1" ht="20.25" customHeight="1" x14ac:dyDescent="0.2">
      <c r="A2" s="139" t="s">
        <v>3</v>
      </c>
      <c r="B2" s="139"/>
      <c r="C2" s="139"/>
      <c r="D2" s="139"/>
      <c r="E2" s="139"/>
      <c r="F2" s="139"/>
      <c r="G2" s="139"/>
      <c r="H2" s="64" t="s">
        <v>63</v>
      </c>
      <c r="I2" s="74" t="s">
        <v>60</v>
      </c>
    </row>
    <row r="3" spans="1:9" s="41" customFormat="1" ht="20.100000000000001" customHeight="1" x14ac:dyDescent="0.25">
      <c r="A3" s="16" t="s">
        <v>15</v>
      </c>
      <c r="B3" s="101" t="s">
        <v>70</v>
      </c>
      <c r="C3" s="101"/>
      <c r="D3" s="101"/>
      <c r="E3" s="61" t="s">
        <v>51</v>
      </c>
      <c r="F3" s="140"/>
      <c r="G3" s="141"/>
      <c r="H3" s="93" t="s">
        <v>48</v>
      </c>
      <c r="I3" s="40" t="s">
        <v>74</v>
      </c>
    </row>
    <row r="4" spans="1:9" s="13" customFormat="1" ht="31.5" customHeight="1" thickBot="1" x14ac:dyDescent="0.25">
      <c r="A4" s="71" t="s">
        <v>13</v>
      </c>
      <c r="B4" s="31" t="s">
        <v>18</v>
      </c>
      <c r="C4" s="57" t="s">
        <v>1</v>
      </c>
      <c r="D4" s="43" t="s">
        <v>2</v>
      </c>
      <c r="E4" s="46" t="s">
        <v>4</v>
      </c>
      <c r="F4" s="63" t="s">
        <v>67</v>
      </c>
      <c r="G4" s="69" t="s">
        <v>19</v>
      </c>
      <c r="H4" s="142" t="s">
        <v>21</v>
      </c>
      <c r="I4" s="143"/>
    </row>
    <row r="5" spans="1:9" ht="22.35" customHeight="1" thickTop="1" thickBot="1" x14ac:dyDescent="0.25">
      <c r="A5" s="17">
        <v>1</v>
      </c>
      <c r="B5" s="52" t="str">
        <f ca="1">IF(ISNA(MATCH(1,DATA_1!A2:A40,0)),"",IF(INDIRECT("DATA_1!C"&amp;(MATCH(1,DATA_1!A2:A40,0))+1)=999.99,"OFF",INDIRECT("DATA_1!C"&amp;(MATCH(1,DATA_1!A2:A40,0))+1)))</f>
        <v>OFF</v>
      </c>
      <c r="C5" s="24" t="str">
        <f ca="1">IF(ISNA(MATCH(1,DATA_1!A2:A40,0)),"",IF(INDIRECT("DATA_1!D"&amp;(MATCH(1,DATA_1!A2:A40,0))+1)=999.99,"OFF",INDIRECT("DATA_1!D"&amp;(MATCH(1,DATA_1!A2:A40,0))+1)))</f>
        <v>OFF</v>
      </c>
      <c r="D5" s="24" t="str">
        <f ca="1">IF(ISNA(MATCH(1,DATA_1!A2:A40,0)),"",IF(INDIRECT("DATA_1!E"&amp;(MATCH(1,DATA_1!A2:A40,0))+1)=999.99,"OFF",INDIRECT("DATA_1!E"&amp;(MATCH(1,DATA_1!A2:A40,0))+1)))</f>
        <v>OFF</v>
      </c>
      <c r="E5" s="45">
        <v>0.02</v>
      </c>
      <c r="F5" s="23">
        <v>0.02</v>
      </c>
      <c r="G5" s="68" t="str">
        <f ca="1">IF(ISNA(MATCH(1,DATA_1!A2:A40,0)),"",IF(INDIRECT("DATA_1!H"&amp;(MATCH(1,DATA_1!A2:A40,0))+1)=999.99,"OFF",INDIRECT("DATA_1!H"&amp;(MATCH(1,DATA_1!A2:A40,0))+1)))</f>
        <v>OFF</v>
      </c>
      <c r="H5" s="136">
        <v>0.02</v>
      </c>
      <c r="I5" s="137"/>
    </row>
    <row r="6" spans="1:9" ht="22.35" customHeight="1" thickTop="1" thickBot="1" x14ac:dyDescent="0.25">
      <c r="A6" s="35">
        <v>2</v>
      </c>
      <c r="B6" s="52" t="str">
        <f ca="1">IF(ISNA(MATCH(2,DATA_1!A2:A40,0)),"",IF(INDIRECT("DATA_1!C"&amp;(MATCH(2,DATA_1!A2:A40,0))+1)=999.99,"OFF",INDIRECT("DATA_1!C"&amp;(MATCH(2,DATA_1!A2:A40,0))+1)))</f>
        <v>OFF</v>
      </c>
      <c r="C6" s="24" t="str">
        <f ca="1">IF(ISNA(MATCH(2,DATA_1!A2:A40,0)),"",IF(INDIRECT("DATA_1!D"&amp;(MATCH(2,DATA_1!A2:A40,0))+1)=999.99,"OFF",INDIRECT("DATA_1!D"&amp;(MATCH(2,DATA_1!A2:A40,0))+1)))</f>
        <v>OFF</v>
      </c>
      <c r="D6" s="24">
        <v>0.02</v>
      </c>
      <c r="E6" s="45">
        <v>0.02</v>
      </c>
      <c r="F6" s="23">
        <v>0.02</v>
      </c>
      <c r="G6" s="68" t="str">
        <f ca="1">IF(ISNA(MATCH(2,DATA_1!A2:A40,0)),"",IF(INDIRECT("DATA_1!H"&amp;(MATCH(2,DATA_1!A2:A40,0))+1)=999.99,"OFF",INDIRECT("DATA_1!H"&amp;(MATCH(2,DATA_1!A2:A40,0))+1)))</f>
        <v>OFF</v>
      </c>
      <c r="H6" s="134">
        <v>0.02</v>
      </c>
      <c r="I6" s="135"/>
    </row>
    <row r="7" spans="1:9" ht="22.35" customHeight="1" thickTop="1" thickBot="1" x14ac:dyDescent="0.25">
      <c r="A7" s="35">
        <v>3</v>
      </c>
      <c r="B7" s="52" t="str">
        <f ca="1">IF(ISNA(MATCH(3,DATA_1!A2:A40,0)),"",IF(INDIRECT("DATA_1!C"&amp;(MATCH(3,DATA_1!A2:A40,0))+1)=999.99,"OFF",INDIRECT("DATA_1!C"&amp;(MATCH(3,DATA_1!A2:A40,0))+1)))</f>
        <v>OFF</v>
      </c>
      <c r="C7" s="24" t="str">
        <f ca="1">IF(ISNA(MATCH(3,DATA_1!A2:A40,0)),"",IF(INDIRECT("DATA_1!D"&amp;(MATCH(3,DATA_1!A2:A40,0))+1)=999.99,"OFF",INDIRECT("DATA_1!D"&amp;(MATCH(3,DATA_1!A2:A40,0))+1)))</f>
        <v>OFF</v>
      </c>
      <c r="D7" s="24" t="str">
        <f ca="1">IF(ISNA(MATCH(3,DATA_1!A2:A40,0)),"",IF(INDIRECT("DATA_1!E"&amp;(MATCH(3,DATA_1!A2:A40,0))+1)=999.99,"OFF",INDIRECT("DATA_1!E"&amp;(MATCH(3,DATA_1!A2:A40,0))+1)))</f>
        <v>OFF</v>
      </c>
      <c r="E7" s="45">
        <v>0.02</v>
      </c>
      <c r="F7" s="23">
        <v>0.02</v>
      </c>
      <c r="G7" s="68" t="str">
        <f ca="1">IF(ISNA(MATCH(3,DATA_1!A2:A40,0)),"",IF(INDIRECT("DATA_1!H"&amp;(MATCH(3,DATA_1!A2:A40,0))+1)=999.99,"OFF",INDIRECT("DATA_1!H"&amp;(MATCH(3,DATA_1!A2:A40,0))+1)))</f>
        <v>OFF</v>
      </c>
      <c r="H7" s="134">
        <v>0.02</v>
      </c>
      <c r="I7" s="135"/>
    </row>
    <row r="8" spans="1:9" ht="22.35" customHeight="1" thickTop="1" thickBot="1" x14ac:dyDescent="0.25">
      <c r="A8" s="35">
        <v>4</v>
      </c>
      <c r="B8" s="52" t="str">
        <f ca="1">IF(ISNA(MATCH(4,DATA_1!A2:A40,0)),"",IF(INDIRECT("DATA_1!C"&amp;(MATCH(4,DATA_1!A2:A40,0))+1)=999.99,"OFF",INDIRECT("DATA_1!C"&amp;(MATCH(4,DATA_1!A2:A40,0))+1)))</f>
        <v>OFF</v>
      </c>
      <c r="C8" s="24" t="str">
        <f ca="1">IF(ISNA(MATCH(4,DATA_1!A2:A40,0)),"",IF(INDIRECT("DATA_1!D"&amp;(MATCH(4,DATA_1!A2:A40,0))+1)=999.99,"OFF",INDIRECT("DATA_1!D"&amp;(MATCH(4,DATA_1!A2:A40,0))+1)))</f>
        <v>OFF</v>
      </c>
      <c r="D8" s="24">
        <v>0.02</v>
      </c>
      <c r="E8" s="45">
        <v>0.03</v>
      </c>
      <c r="F8" s="23">
        <v>0.02</v>
      </c>
      <c r="G8" s="68" t="str">
        <f ca="1">IF(ISNA(MATCH(4,DATA_1!A2:A40,0)),"",IF(INDIRECT("DATA_1!H"&amp;(MATCH(4,DATA_1!A2:A40,0))+1)=999.99,"OFF",INDIRECT("DATA_1!H"&amp;(MATCH(4,DATA_1!A2:A40,0))+1)))</f>
        <v>OFF</v>
      </c>
      <c r="H8" s="134">
        <v>0.03</v>
      </c>
      <c r="I8" s="135"/>
    </row>
    <row r="9" spans="1:9" ht="22.35" customHeight="1" thickTop="1" thickBot="1" x14ac:dyDescent="0.25">
      <c r="A9" s="35">
        <v>5</v>
      </c>
      <c r="B9" s="52" t="str">
        <f ca="1">IF(ISNA(MATCH(5,DATA_1!A2:A40,0)),"",IF(INDIRECT("DATA_1!C"&amp;(MATCH(5,DATA_1!A2:A40,0))+1)=999.99,"OFF",INDIRECT("DATA_1!C"&amp;(MATCH(5,DATA_1!A2:A40,0))+1)))</f>
        <v>OFF</v>
      </c>
      <c r="C9" s="24" t="str">
        <f ca="1">IF(ISNA(MATCH(5,DATA_1!A2:A40,0)),"",IF(INDIRECT("DATA_1!D"&amp;(MATCH(5,DATA_1!A2:A40,0))+1)=999.99,"OFF",INDIRECT("DATA_1!D"&amp;(MATCH(5,DATA_1!A2:A40,0))+1)))</f>
        <v>OFF</v>
      </c>
      <c r="D9" s="24">
        <v>0.02</v>
      </c>
      <c r="E9" s="45">
        <v>0.02</v>
      </c>
      <c r="F9" s="23">
        <v>0.04</v>
      </c>
      <c r="G9" s="68">
        <v>0.02</v>
      </c>
      <c r="H9" s="134">
        <f ca="1">IF(ISNA(MATCH(5,DATA_1!A2:A40,0)),"",INDIRECT("DATA_1!K"&amp;(MATCH(5,DATA_1!A2:A40,0))+1))</f>
        <v>4.0393529999999997E-2</v>
      </c>
      <c r="I9" s="135"/>
    </row>
    <row r="10" spans="1:9" ht="22.35" customHeight="1" thickTop="1" thickBot="1" x14ac:dyDescent="0.25">
      <c r="A10" s="35">
        <v>6</v>
      </c>
      <c r="B10" s="52" t="str">
        <f ca="1">IF(ISNA(MATCH(6,DATA_1!A2:A40,0)),"",IF(INDIRECT("DATA_1!C"&amp;(MATCH(6,DATA_1!A2:A40,0))+1)=999.99,"OFF",INDIRECT("DATA_1!C"&amp;(MATCH(6,DATA_1!A2:A40,0))+1)))</f>
        <v>OFF</v>
      </c>
      <c r="C10" s="24" t="str">
        <f ca="1">IF(ISNA(MATCH(6,DATA_1!A2:A40,0)),"",IF(INDIRECT("DATA_1!D"&amp;(MATCH(6,DATA_1!A2:A40,0))+1)=999.99,"OFF",INDIRECT("DATA_1!D"&amp;(MATCH(6,DATA_1!A2:A40,0))+1)))</f>
        <v>OFF</v>
      </c>
      <c r="D10" s="24">
        <v>0.02</v>
      </c>
      <c r="E10" s="45">
        <v>0.02</v>
      </c>
      <c r="F10" s="23">
        <v>0.02</v>
      </c>
      <c r="G10" s="68">
        <v>0.02</v>
      </c>
      <c r="H10" s="134">
        <v>2.1000000000000001E-2</v>
      </c>
      <c r="I10" s="135"/>
    </row>
    <row r="11" spans="1:9" ht="22.35" customHeight="1" thickTop="1" thickBot="1" x14ac:dyDescent="0.25">
      <c r="A11" s="35">
        <v>7</v>
      </c>
      <c r="B11" s="52" t="str">
        <f ca="1">IF(ISNA(MATCH(7,DATA_1!A2:A40,0)),"",IF(INDIRECT("DATA_1!C"&amp;(MATCH(7,DATA_1!A2:A40,0))+1)=999.99,"OFF",INDIRECT("DATA_1!C"&amp;(MATCH(7,DATA_1!A2:A40,0))+1)))</f>
        <v>OFF</v>
      </c>
      <c r="C11" s="24" t="str">
        <f ca="1">IF(ISNA(MATCH(7,DATA_1!A2:A40,0)),"",IF(INDIRECT("DATA_1!D"&amp;(MATCH(7,DATA_1!A2:A40,0))+1)=999.99,"OFF",INDIRECT("DATA_1!D"&amp;(MATCH(7,DATA_1!A2:A40,0))+1)))</f>
        <v>OFF</v>
      </c>
      <c r="D11" s="24" t="str">
        <f ca="1">IF(ISNA(MATCH(7,DATA_1!A2:A40,0)),"",IF(INDIRECT("DATA_1!E"&amp;(MATCH(7,DATA_1!A2:A40,0))+1)=999.99,"OFF",INDIRECT("DATA_1!E"&amp;(MATCH(7,DATA_1!A2:A40,0))+1)))</f>
        <v>OFF</v>
      </c>
      <c r="E11" s="45">
        <v>0.02</v>
      </c>
      <c r="F11" s="23" t="str">
        <f ca="1">IF(ISNA(MATCH(7,DATA_1!A2:A40,0)),"",IF(INDIRECT("DATA_1!G"&amp;(MATCH(7,DATA_1!A2:A40,0))+1)=999.99,"OFF",INDIRECT("DATA_1!G"&amp;(MATCH(7,DATA_1!A2:A40,0))+1)))</f>
        <v>OFF</v>
      </c>
      <c r="G11" s="68" t="str">
        <f ca="1">IF(ISNA(MATCH(7,DATA_1!A2:A40,0)),"",IF(INDIRECT("DATA_1!H"&amp;(MATCH(7,DATA_1!A2:A40,0))+1)=999.99,"OFF",INDIRECT("DATA_1!H"&amp;(MATCH(7,DATA_1!A2:A40,0))+1)))</f>
        <v>OFF</v>
      </c>
      <c r="H11" s="134">
        <v>0.02</v>
      </c>
      <c r="I11" s="135"/>
    </row>
    <row r="12" spans="1:9" ht="22.35" customHeight="1" thickTop="1" thickBot="1" x14ac:dyDescent="0.25">
      <c r="A12" s="35">
        <v>8</v>
      </c>
      <c r="B12" s="52" t="str">
        <f ca="1">IF(ISNA(MATCH(8,DATA_1!A2:A40,0)),"",IF(INDIRECT("DATA_1!C"&amp;(MATCH(8,DATA_1!A2:A40,0))+1)=999.99,"OFF",INDIRECT("DATA_1!C"&amp;(MATCH(8,DATA_1!A2:A40,0))+1)))</f>
        <v>OFF</v>
      </c>
      <c r="C12" s="24" t="str">
        <f ca="1">IF(ISNA(MATCH(8,DATA_1!A2:A40,0)),"",IF(INDIRECT("DATA_1!D"&amp;(MATCH(8,DATA_1!A2:A40,0))+1)=999.99,"OFF",INDIRECT("DATA_1!D"&amp;(MATCH(8,DATA_1!A2:A40,0))+1)))</f>
        <v>OFF</v>
      </c>
      <c r="D12" s="24">
        <v>0.02</v>
      </c>
      <c r="E12" s="45">
        <v>0.02</v>
      </c>
      <c r="F12" s="23">
        <v>0.02</v>
      </c>
      <c r="G12" s="68" t="str">
        <f ca="1">IF(ISNA(MATCH(8,DATA_1!A2:A40,0)),"",IF(INDIRECT("DATA_1!H"&amp;(MATCH(8,DATA_1!A2:A40,0))+1)=999.99,"OFF",INDIRECT("DATA_1!H"&amp;(MATCH(8,DATA_1!A2:A40,0))+1)))</f>
        <v>OFF</v>
      </c>
      <c r="H12" s="134">
        <v>0.02</v>
      </c>
      <c r="I12" s="135"/>
    </row>
    <row r="13" spans="1:9" ht="22.35" customHeight="1" thickTop="1" thickBot="1" x14ac:dyDescent="0.25">
      <c r="A13" s="35">
        <v>9</v>
      </c>
      <c r="B13" s="52" t="str">
        <f ca="1">IF(ISNA(MATCH(9,DATA_1!A2:A40,0)),"",IF(INDIRECT("DATA_1!C"&amp;(MATCH(9,DATA_1!A2:A40,0))+1)=999.99,"OFF",INDIRECT("DATA_1!C"&amp;(MATCH(9,DATA_1!A2:A40,0))+1)))</f>
        <v>OFF</v>
      </c>
      <c r="C13" s="24" t="str">
        <f ca="1">IF(ISNA(MATCH(9,DATA_1!A2:A40,0)),"",IF(INDIRECT("DATA_1!D"&amp;(MATCH(9,DATA_1!A2:A40,0))+1)=999.99,"OFF",INDIRECT("DATA_1!D"&amp;(MATCH(9,DATA_1!A2:A40,0))+1)))</f>
        <v>OFF</v>
      </c>
      <c r="D13" s="24" t="str">
        <f ca="1">IF(ISNA(MATCH(9,DATA_1!A2:A40,0)),"",IF(INDIRECT("DATA_1!E"&amp;(MATCH(9,DATA_1!A2:A40,0))+1)=999.99,"OFF",INDIRECT("DATA_1!E"&amp;(MATCH(9,DATA_1!A2:A40,0))+1)))</f>
        <v>OFF</v>
      </c>
      <c r="E13" s="45">
        <v>0.02</v>
      </c>
      <c r="F13" s="23" t="str">
        <f ca="1">IF(ISNA(MATCH(9,DATA_1!A2:A40,0)),"",IF(INDIRECT("DATA_1!G"&amp;(MATCH(9,DATA_1!A2:A40,0))+1)=999.99,"OFF",INDIRECT("DATA_1!G"&amp;(MATCH(9,DATA_1!A2:A40,0))+1)))</f>
        <v>OFF</v>
      </c>
      <c r="G13" s="68" t="str">
        <f ca="1">IF(ISNA(MATCH(9,DATA_1!A2:A40,0)),"",IF(INDIRECT("DATA_1!H"&amp;(MATCH(9,DATA_1!A2:A40,0))+1)=999.99,"OFF",INDIRECT("DATA_1!H"&amp;(MATCH(9,DATA_1!A2:A40,0))+1)))</f>
        <v>OFF</v>
      </c>
      <c r="H13" s="134">
        <v>0.02</v>
      </c>
      <c r="I13" s="135"/>
    </row>
    <row r="14" spans="1:9" ht="22.35" customHeight="1" thickTop="1" thickBot="1" x14ac:dyDescent="0.25">
      <c r="A14" s="35">
        <v>10</v>
      </c>
      <c r="B14" s="52" t="str">
        <f ca="1">IF(ISNA(MATCH(10,DATA_1!A2:A40,0)),"",IF(INDIRECT("DATA_1!C"&amp;(MATCH(10,DATA_1!A2:A40,0))+1)=999.99,"OFF",INDIRECT("DATA_1!C"&amp;(MATCH(10,DATA_1!A2:A40,0))+1)))</f>
        <v>OFF</v>
      </c>
      <c r="C14" s="24" t="str">
        <f ca="1">IF(ISNA(MATCH(10,DATA_1!A2:A40,0)),"",IF(INDIRECT("DATA_1!D"&amp;(MATCH(10,DATA_1!A2:A40,0))+1)=999.99,"OFF",INDIRECT("DATA_1!D"&amp;(MATCH(10,DATA_1!A2:A40,0))+1)))</f>
        <v>OFF</v>
      </c>
      <c r="D14" s="24">
        <v>0.02</v>
      </c>
      <c r="E14" s="45">
        <v>0.02</v>
      </c>
      <c r="F14" s="23">
        <v>0.02</v>
      </c>
      <c r="G14" s="68">
        <v>0.02</v>
      </c>
      <c r="H14" s="134">
        <v>0.02</v>
      </c>
      <c r="I14" s="135"/>
    </row>
    <row r="15" spans="1:9" ht="22.35" customHeight="1" thickTop="1" thickBot="1" x14ac:dyDescent="0.25">
      <c r="A15" s="35">
        <v>11</v>
      </c>
      <c r="B15" s="52" t="str">
        <f ca="1">IF(ISNA(MATCH(11,DATA_1!A2:A40,0)),"",IF(INDIRECT("DATA_1!C"&amp;(MATCH(11,DATA_1!A2:A40,0))+1)=999.99,"OFF",INDIRECT("DATA_1!C"&amp;(MATCH(11,DATA_1!A2:A40,0))+1)))</f>
        <v>OFF</v>
      </c>
      <c r="C15" s="24" t="str">
        <f ca="1">IF(ISNA(MATCH(11,DATA_1!A2:A40,0)),"",IF(INDIRECT("DATA_1!D"&amp;(MATCH(11,DATA_1!A2:A40,0))+1)=999.99,"OFF",INDIRECT("DATA_1!D"&amp;(MATCH(11,DATA_1!A2:A40,0))+1)))</f>
        <v>OFF</v>
      </c>
      <c r="D15" s="24" t="str">
        <f ca="1">IF(ISNA(MATCH(11,DATA_1!A2:A40,0)),"",IF(INDIRECT("DATA_1!E"&amp;(MATCH(11,DATA_1!A2:A40,0))+1)=999.99,"OFF",INDIRECT("DATA_1!E"&amp;(MATCH(11,DATA_1!A2:A40,0))+1)))</f>
        <v>OFF</v>
      </c>
      <c r="E15" s="45">
        <v>0.02</v>
      </c>
      <c r="F15" s="23" t="str">
        <f ca="1">IF(ISNA(MATCH(11,DATA_1!A2:A40,0)),"",IF(INDIRECT("DATA_1!G"&amp;(MATCH(11,DATA_1!A2:A40,0))+1)=999.99,"OFF",INDIRECT("DATA_1!G"&amp;(MATCH(11,DATA_1!A2:A40,0))+1)))</f>
        <v>OFF</v>
      </c>
      <c r="G15" s="68" t="str">
        <f ca="1">IF(ISNA(MATCH(11,DATA_1!A2:A40,0)),"",IF(INDIRECT("DATA_1!H"&amp;(MATCH(11,DATA_1!A2:A40,0))+1)=999.99,"OFF",INDIRECT("DATA_1!H"&amp;(MATCH(11,DATA_1!A2:A40,0))+1)))</f>
        <v>OFF</v>
      </c>
      <c r="H15" s="134">
        <v>0.02</v>
      </c>
      <c r="I15" s="135"/>
    </row>
    <row r="16" spans="1:9" ht="22.35" customHeight="1" thickTop="1" thickBot="1" x14ac:dyDescent="0.25">
      <c r="A16" s="35">
        <v>12</v>
      </c>
      <c r="B16" s="52" t="str">
        <f ca="1">IF(ISNA(MATCH(12,DATA_1!A2:A40,0)),"",IF(INDIRECT("DATA_1!C"&amp;(MATCH(12,DATA_1!A2:A40,0))+1)=999.99,"OFF",INDIRECT("DATA_1!C"&amp;(MATCH(12,DATA_1!A2:A40,0))+1)))</f>
        <v>OFF</v>
      </c>
      <c r="C16" s="24" t="str">
        <f ca="1">IF(ISNA(MATCH(12,DATA_1!A2:A40,0)),"",IF(INDIRECT("DATA_1!D"&amp;(MATCH(12,DATA_1!A2:A40,0))+1)=999.99,"OFF",INDIRECT("DATA_1!D"&amp;(MATCH(12,DATA_1!A2:A40,0))+1)))</f>
        <v>OFF</v>
      </c>
      <c r="D16" s="24">
        <v>0.02</v>
      </c>
      <c r="E16" s="45">
        <v>0.02</v>
      </c>
      <c r="F16" s="23">
        <v>0.02</v>
      </c>
      <c r="G16" s="68" t="str">
        <f ca="1">IF(ISNA(MATCH(12,DATA_1!A2:A40,0)),"",IF(INDIRECT("DATA_1!H"&amp;(MATCH(12,DATA_1!A2:A40,0))+1)=999.99,"OFF",INDIRECT("DATA_1!H"&amp;(MATCH(12,DATA_1!A2:A40,0))+1)))</f>
        <v>OFF</v>
      </c>
      <c r="H16" s="134">
        <v>0.02</v>
      </c>
      <c r="I16" s="135"/>
    </row>
    <row r="17" spans="1:9" ht="22.35" customHeight="1" thickTop="1" thickBot="1" x14ac:dyDescent="0.25">
      <c r="A17" s="35">
        <v>13</v>
      </c>
      <c r="B17" s="52" t="str">
        <f ca="1">IF(ISNA(MATCH(13,DATA_1!A2:A40,0)),"",IF(INDIRECT("DATA_1!C"&amp;(MATCH(13,DATA_1!A2:A40,0))+1)=999.99,"OFF",INDIRECT("DATA_1!C"&amp;(MATCH(13,DATA_1!A2:A40,0))+1)))</f>
        <v>OFF</v>
      </c>
      <c r="C17" s="24" t="str">
        <f ca="1">IF(ISNA(MATCH(13,DATA_1!A2:A40,0)),"",IF(INDIRECT("DATA_1!D"&amp;(MATCH(13,DATA_1!A2:A40,0))+1)=999.99,"OFF",INDIRECT("DATA_1!D"&amp;(MATCH(13,DATA_1!A2:A40,0))+1)))</f>
        <v>OFF</v>
      </c>
      <c r="D17" s="24" t="str">
        <f ca="1">IF(ISNA(MATCH(13,DATA_1!A2:A40,0)),"",IF(INDIRECT("DATA_1!E"&amp;(MATCH(13,DATA_1!A2:A40,0))+1)=999.99,"OFF",INDIRECT("DATA_1!E"&amp;(MATCH(13,DATA_1!A2:A40,0))+1)))</f>
        <v>OFF</v>
      </c>
      <c r="E17" s="45">
        <v>0.02</v>
      </c>
      <c r="F17" s="23">
        <v>0.02</v>
      </c>
      <c r="G17" s="68" t="str">
        <f ca="1">IF(ISNA(MATCH(13,DATA_1!A2:A40,0)),"",IF(INDIRECT("DATA_1!H"&amp;(MATCH(13,DATA_1!A2:A40,0))+1)=999.99,"OFF",INDIRECT("DATA_1!H"&amp;(MATCH(13,DATA_1!A2:A40,0))+1)))</f>
        <v>OFF</v>
      </c>
      <c r="H17" s="134">
        <v>0.02</v>
      </c>
      <c r="I17" s="135"/>
    </row>
    <row r="18" spans="1:9" ht="22.35" customHeight="1" thickTop="1" thickBot="1" x14ac:dyDescent="0.25">
      <c r="A18" s="35">
        <v>14</v>
      </c>
      <c r="B18" s="52" t="str">
        <f ca="1">IF(ISNA(MATCH(14,DATA_1!A2:A40,0)),"",IF(INDIRECT("DATA_1!C"&amp;(MATCH(14,DATA_1!A2:A40,0))+1)=999.99,"OFF",INDIRECT("DATA_1!C"&amp;(MATCH(14,DATA_1!A2:A40,0))+1)))</f>
        <v>OFF</v>
      </c>
      <c r="C18" s="24" t="str">
        <f ca="1">IF(ISNA(MATCH(14,DATA_1!A2:A40,0)),"",IF(INDIRECT("DATA_1!D"&amp;(MATCH(14,DATA_1!A2:A40,0))+1)=999.99,"OFF",INDIRECT("DATA_1!D"&amp;(MATCH(14,DATA_1!A2:A40,0))+1)))</f>
        <v>OFF</v>
      </c>
      <c r="D18" s="24">
        <v>0.02</v>
      </c>
      <c r="E18" s="45">
        <v>0.02</v>
      </c>
      <c r="F18" s="23">
        <v>0.02</v>
      </c>
      <c r="G18" s="68" t="str">
        <f ca="1">IF(ISNA(MATCH(14,DATA_1!A2:A40,0)),"",IF(INDIRECT("DATA_1!H"&amp;(MATCH(14,DATA_1!A2:A40,0))+1)=999.99,"OFF",INDIRECT("DATA_1!H"&amp;(MATCH(14,DATA_1!A2:A40,0))+1)))</f>
        <v>OFF</v>
      </c>
      <c r="H18" s="134">
        <v>0.02</v>
      </c>
      <c r="I18" s="135"/>
    </row>
    <row r="19" spans="1:9" ht="22.35" customHeight="1" thickTop="1" thickBot="1" x14ac:dyDescent="0.25">
      <c r="A19" s="35">
        <v>15</v>
      </c>
      <c r="B19" s="52" t="str">
        <f ca="1">IF(ISNA(MATCH(15,DATA_1!A2:A40,0)),"",IF(INDIRECT("DATA_1!C"&amp;(MATCH(15,DATA_1!A2:A40,0))+1)=999.99,"OFF",INDIRECT("DATA_1!C"&amp;(MATCH(15,DATA_1!A2:A40,0))+1)))</f>
        <v>OFF</v>
      </c>
      <c r="C19" s="24" t="str">
        <f ca="1">IF(ISNA(MATCH(15,DATA_1!A2:A40,0)),"",IF(INDIRECT("DATA_1!D"&amp;(MATCH(15,DATA_1!A2:A40,0))+1)=999.99,"OFF",INDIRECT("DATA_1!D"&amp;(MATCH(15,DATA_1!A2:A40,0))+1)))</f>
        <v>OFF</v>
      </c>
      <c r="D19" s="24">
        <v>0.02</v>
      </c>
      <c r="E19" s="45">
        <v>0.02</v>
      </c>
      <c r="F19" s="23">
        <v>0.02</v>
      </c>
      <c r="G19" s="68" t="str">
        <f ca="1">IF(ISNA(MATCH(15,DATA_1!A2:A40,0)),"",IF(INDIRECT("DATA_1!H"&amp;(MATCH(15,DATA_1!A2:A40,0))+1)=999.99,"OFF",INDIRECT("DATA_1!H"&amp;(MATCH(15,DATA_1!A2:A40,0))+1)))</f>
        <v>OFF</v>
      </c>
      <c r="H19" s="134">
        <v>0.02</v>
      </c>
      <c r="I19" s="135"/>
    </row>
    <row r="20" spans="1:9" ht="22.35" customHeight="1" thickTop="1" thickBot="1" x14ac:dyDescent="0.25">
      <c r="A20" s="35">
        <v>16</v>
      </c>
      <c r="B20" s="52" t="str">
        <f ca="1">IF(ISNA(MATCH(16,DATA_1!A2:A40,0)),"",IF(INDIRECT("DATA_1!C"&amp;(MATCH(16,DATA_1!A2:A40,0))+1)=999.99,"OFF",INDIRECT("DATA_1!C"&amp;(MATCH(16,DATA_1!A2:A40,0))+1)))</f>
        <v>OFF</v>
      </c>
      <c r="C20" s="24" t="str">
        <f ca="1">IF(ISNA(MATCH(16,DATA_1!A2:A40,0)),"",IF(INDIRECT("DATA_1!D"&amp;(MATCH(16,DATA_1!A2:A40,0))+1)=999.99,"OFF",INDIRECT("DATA_1!D"&amp;(MATCH(16,DATA_1!A2:A40,0))+1)))</f>
        <v>OFF</v>
      </c>
      <c r="D20" s="24">
        <v>0.02</v>
      </c>
      <c r="E20" s="45">
        <v>0.02</v>
      </c>
      <c r="F20" s="23" t="str">
        <f ca="1">IF(ISNA(MATCH(16,DATA_1!A2:A40,0)),"",IF(INDIRECT("DATA_1!G"&amp;(MATCH(16,DATA_1!A2:A40,0))+1)=999.99,"OFF",INDIRECT("DATA_1!G"&amp;(MATCH(16,DATA_1!A2:A40,0))+1)))</f>
        <v>OFF</v>
      </c>
      <c r="G20" s="68" t="str">
        <f ca="1">IF(ISNA(MATCH(16,DATA_1!A2:A40,0)),"",IF(INDIRECT("DATA_1!H"&amp;(MATCH(16,DATA_1!A2:A40,0))+1)=999.99,"OFF",INDIRECT("DATA_1!H"&amp;(MATCH(16,DATA_1!A2:A40,0))+1)))</f>
        <v>OFF</v>
      </c>
      <c r="H20" s="134">
        <v>0.02</v>
      </c>
      <c r="I20" s="135"/>
    </row>
    <row r="21" spans="1:9" ht="22.35" customHeight="1" thickTop="1" thickBot="1" x14ac:dyDescent="0.25">
      <c r="A21" s="35">
        <v>17</v>
      </c>
      <c r="B21" s="52" t="str">
        <f ca="1">IF(ISNA(MATCH(17,DATA_1!A2:A40,0)),"",IF(INDIRECT("DATA_1!C"&amp;(MATCH(17,DATA_1!A2:A40,0))+1)=999.99,"OFF",INDIRECT("DATA_1!C"&amp;(MATCH(17,DATA_1!A2:A40,0))+1)))</f>
        <v>OFF</v>
      </c>
      <c r="C21" s="24" t="str">
        <f ca="1">IF(ISNA(MATCH(17,DATA_1!A2:A40,0)),"",IF(INDIRECT("DATA_1!D"&amp;(MATCH(17,DATA_1!A2:A40,0))+1)=999.99,"OFF",INDIRECT("DATA_1!D"&amp;(MATCH(17,DATA_1!A2:A40,0))+1)))</f>
        <v>OFF</v>
      </c>
      <c r="D21" s="24" t="str">
        <f ca="1">IF(ISNA(MATCH(17,DATA_1!A2:A40,0)),"",IF(INDIRECT("DATA_1!E"&amp;(MATCH(17,DATA_1!A2:A40,0))+1)=999.99,"OFF",INDIRECT("DATA_1!E"&amp;(MATCH(17,DATA_1!A2:A40,0))+1)))</f>
        <v>OFF</v>
      </c>
      <c r="E21" s="45" t="str">
        <f ca="1">IF(ISNA(MATCH(17,DATA_1!A2:A40,0)),"",IF(INDIRECT("DATA_1!F"&amp;(MATCH(17,DATA_1!A2:A40,0))+1)=999.99,"OFF",INDIRECT("DATA_1!F"&amp;(MATCH(17,DATA_1!A2:A40,0))+1)))</f>
        <v>OFF</v>
      </c>
      <c r="F21" s="23">
        <v>0.01</v>
      </c>
      <c r="G21" s="68">
        <v>0.01</v>
      </c>
      <c r="H21" s="134">
        <v>0.01</v>
      </c>
      <c r="I21" s="135"/>
    </row>
    <row r="22" spans="1:9" ht="22.35" customHeight="1" thickTop="1" thickBot="1" x14ac:dyDescent="0.25">
      <c r="A22" s="35">
        <v>18</v>
      </c>
      <c r="B22" s="52">
        <v>0.01</v>
      </c>
      <c r="C22" s="24" t="str">
        <f ca="1">IF(ISNA(MATCH(18,DATA_1!A2:A40,0)),"",IF(INDIRECT("DATA_1!D"&amp;(MATCH(18,DATA_1!A2:A40,0))+1)=999.99,"OFF",INDIRECT("DATA_1!D"&amp;(MATCH(18,DATA_1!A2:A40,0))+1)))</f>
        <v>OFF</v>
      </c>
      <c r="D22" s="24">
        <v>0.01</v>
      </c>
      <c r="E22" s="45" t="str">
        <f ca="1">IF(ISNA(MATCH(18,DATA_1!A2:A40,0)),"",IF(INDIRECT("DATA_1!F"&amp;(MATCH(18,DATA_1!A2:A40,0))+1)=999.99,"OFF",INDIRECT("DATA_1!F"&amp;(MATCH(18,DATA_1!A2:A40,0))+1)))</f>
        <v>OFF</v>
      </c>
      <c r="F22" s="23" t="str">
        <f ca="1">IF(ISNA(MATCH(18,DATA_1!A2:A40,0)),"",IF(INDIRECT("DATA_1!G"&amp;(MATCH(18,DATA_1!A2:A40,0))+1)=999.99,"OFF",INDIRECT("DATA_1!G"&amp;(MATCH(18,DATA_1!A2:A40,0))+1)))</f>
        <v>OFF</v>
      </c>
      <c r="G22" s="68" t="str">
        <f ca="1">IF(ISNA(MATCH(18,DATA_1!A2:A40,0)),"",IF(INDIRECT("DATA_1!H"&amp;(MATCH(18,DATA_1!A2:A40,0))+1)=999.99,"OFF",INDIRECT("DATA_1!H"&amp;(MATCH(18,DATA_1!A2:A40,0))+1)))</f>
        <v>OFF</v>
      </c>
      <c r="H22" s="134">
        <v>0.01</v>
      </c>
      <c r="I22" s="135"/>
    </row>
    <row r="23" spans="1:9" ht="22.35" customHeight="1" thickTop="1" thickBot="1" x14ac:dyDescent="0.25">
      <c r="A23" s="35">
        <v>19</v>
      </c>
      <c r="B23" s="52" t="str">
        <f ca="1">IF(ISNA(MATCH(19,DATA_1!A2:A40,0)),"",IF(INDIRECT("DATA_1!C"&amp;(MATCH(19,DATA_1!A2:A40,0))+1)=999.99,"OFF",INDIRECT("DATA_1!C"&amp;(MATCH(19,DATA_1!A2:A40,0))+1)))</f>
        <v>OFF</v>
      </c>
      <c r="C23" s="24" t="str">
        <f ca="1">IF(ISNA(MATCH(19,DATA_1!A2:A40,0)),"",IF(INDIRECT("DATA_1!D"&amp;(MATCH(19,DATA_1!A2:A40,0))+1)=999.99,"OFF",INDIRECT("DATA_1!D"&amp;(MATCH(19,DATA_1!A2:A40,0))+1)))</f>
        <v>OFF</v>
      </c>
      <c r="D23" s="24">
        <v>0.01</v>
      </c>
      <c r="E23" s="45">
        <v>0.02</v>
      </c>
      <c r="F23" s="23">
        <v>0.02</v>
      </c>
      <c r="G23" s="68">
        <v>0.02</v>
      </c>
      <c r="H23" s="134">
        <v>0.02</v>
      </c>
      <c r="I23" s="135"/>
    </row>
    <row r="24" spans="1:9" ht="22.35" customHeight="1" thickTop="1" thickBot="1" x14ac:dyDescent="0.25">
      <c r="A24" s="35">
        <v>20</v>
      </c>
      <c r="B24" s="52" t="str">
        <f ca="1">IF(ISNA(MATCH(20,DATA_1!A2:A40,0)),"",IF(INDIRECT("DATA_1!C"&amp;(MATCH(20,DATA_1!A2:A40,0))+1)=999.99,"OFF",INDIRECT("DATA_1!C"&amp;(MATCH(20,DATA_1!A2:A40,0))+1)))</f>
        <v>OFF</v>
      </c>
      <c r="C24" s="24" t="str">
        <f ca="1">IF(ISNA(MATCH(20,DATA_1!A2:A40,0)),"",IF(INDIRECT("DATA_1!D"&amp;(MATCH(20,DATA_1!A2:A40,0))+1)=999.99,"OFF",INDIRECT("DATA_1!D"&amp;(MATCH(20,DATA_1!A2:A40,0))+1)))</f>
        <v>OFF</v>
      </c>
      <c r="D24" s="24" t="str">
        <f ca="1">IF(ISNA(MATCH(20,DATA_1!A2:A40,0)),"",IF(INDIRECT("DATA_1!E"&amp;(MATCH(20,DATA_1!A2:A40,0))+1)=999.99,"OFF",INDIRECT("DATA_1!E"&amp;(MATCH(20,DATA_1!A2:A40,0))+1)))</f>
        <v>OFF</v>
      </c>
      <c r="E24" s="45">
        <v>0.02</v>
      </c>
      <c r="F24" s="23">
        <v>0.02</v>
      </c>
      <c r="G24" s="68" t="str">
        <f ca="1">IF(ISNA(MATCH(20,DATA_1!A2:A40,0)),"",IF(INDIRECT("DATA_1!H"&amp;(MATCH(20,DATA_1!A2:A40,0))+1)=999.99,"OFF",INDIRECT("DATA_1!H"&amp;(MATCH(20,DATA_1!A2:A40,0))+1)))</f>
        <v>OFF</v>
      </c>
      <c r="H24" s="134">
        <v>0.02</v>
      </c>
      <c r="I24" s="135"/>
    </row>
    <row r="25" spans="1:9" ht="22.35" customHeight="1" thickTop="1" thickBot="1" x14ac:dyDescent="0.25">
      <c r="A25" s="35">
        <v>21</v>
      </c>
      <c r="B25" s="52" t="str">
        <f ca="1">IF(ISNA(MATCH(21,DATA_1!A2:A40,0)),"",IF(INDIRECT("DATA_1!C"&amp;(MATCH(21,DATA_1!A2:A40,0))+1)=999.99,"OFF",INDIRECT("DATA_1!C"&amp;(MATCH(21,DATA_1!A2:A40,0))+1)))</f>
        <v>OFF</v>
      </c>
      <c r="C25" s="24" t="str">
        <f ca="1">IF(ISNA(MATCH(21,DATA_1!A2:A40,0)),"",IF(INDIRECT("DATA_1!D"&amp;(MATCH(21,DATA_1!A2:A40,0))+1)=999.99,"OFF",INDIRECT("DATA_1!D"&amp;(MATCH(21,DATA_1!A2:A40,0))+1)))</f>
        <v>OFF</v>
      </c>
      <c r="D25" s="24" t="str">
        <f ca="1">IF(ISNA(MATCH(21,DATA_1!A2:A40,0)),"",IF(INDIRECT("DATA_1!E"&amp;(MATCH(21,DATA_1!A2:A40,0))+1)=999.99,"OFF",INDIRECT("DATA_1!E"&amp;(MATCH(21,DATA_1!A2:A40,0))+1)))</f>
        <v>OFF</v>
      </c>
      <c r="E25" s="45">
        <v>0.02</v>
      </c>
      <c r="F25" s="23">
        <v>0.02</v>
      </c>
      <c r="G25" s="68" t="str">
        <f ca="1">IF(ISNA(MATCH(21,DATA_1!A2:A40,0)),"",IF(INDIRECT("DATA_1!H"&amp;(MATCH(21,DATA_1!A2:A40,0))+1)=999.99,"OFF",INDIRECT("DATA_1!H"&amp;(MATCH(21,DATA_1!A2:A40,0))+1)))</f>
        <v>OFF</v>
      </c>
      <c r="H25" s="134">
        <v>0.02</v>
      </c>
      <c r="I25" s="135"/>
    </row>
    <row r="26" spans="1:9" ht="22.35" customHeight="1" thickTop="1" thickBot="1" x14ac:dyDescent="0.25">
      <c r="A26" s="35">
        <v>22</v>
      </c>
      <c r="B26" s="52" t="str">
        <f ca="1">IF(ISNA(MATCH(22,DATA_1!A2:A40,0)),"",IF(INDIRECT("DATA_1!C"&amp;(MATCH(22,DATA_1!A2:A40,0))+1)=999.99,"OFF",INDIRECT("DATA_1!C"&amp;(MATCH(22,DATA_1!A2:A40,0))+1)))</f>
        <v>OFF</v>
      </c>
      <c r="C26" s="24" t="str">
        <f ca="1">IF(ISNA(MATCH(22,DATA_1!A2:A40,0)),"",IF(INDIRECT("DATA_1!D"&amp;(MATCH(22,DATA_1!A2:A40,0))+1)=999.99,"OFF",INDIRECT("DATA_1!D"&amp;(MATCH(22,DATA_1!A2:A40,0))+1)))</f>
        <v>OFF</v>
      </c>
      <c r="D26" s="24" t="str">
        <f ca="1">IF(ISNA(MATCH(22,DATA_1!A2:A40,0)),"",IF(INDIRECT("DATA_1!E"&amp;(MATCH(22,DATA_1!A2:A40,0))+1)=999.99,"OFF",INDIRECT("DATA_1!E"&amp;(MATCH(22,DATA_1!A2:A40,0))+1)))</f>
        <v>OFF</v>
      </c>
      <c r="E26" s="45">
        <v>0.02</v>
      </c>
      <c r="F26" s="23" t="str">
        <f ca="1">IF(ISNA(MATCH(22,DATA_1!A2:A40,0)),"",IF(INDIRECT("DATA_1!G"&amp;(MATCH(22,DATA_1!A2:A40,0))+1)=999.99,"OFF",INDIRECT("DATA_1!G"&amp;(MATCH(22,DATA_1!A2:A40,0))+1)))</f>
        <v>OFF</v>
      </c>
      <c r="G26" s="68" t="str">
        <f ca="1">IF(ISNA(MATCH(22,DATA_1!A2:A40,0)),"",IF(INDIRECT("DATA_1!H"&amp;(MATCH(22,DATA_1!A2:A40,0))+1)=999.99,"OFF",INDIRECT("DATA_1!H"&amp;(MATCH(22,DATA_1!A2:A40,0))+1)))</f>
        <v>OFF</v>
      </c>
      <c r="H26" s="134">
        <v>0.02</v>
      </c>
      <c r="I26" s="135"/>
    </row>
    <row r="27" spans="1:9" ht="22.35" customHeight="1" thickTop="1" thickBot="1" x14ac:dyDescent="0.25">
      <c r="A27" s="35">
        <v>23</v>
      </c>
      <c r="B27" s="52" t="str">
        <f ca="1">IF(ISNA(MATCH(23,DATA_1!A2:A40,0)),"",IF(INDIRECT("DATA_1!C"&amp;(MATCH(23,DATA_1!A2:A40,0))+1)=999.99,"OFF",INDIRECT("DATA_1!C"&amp;(MATCH(23,DATA_1!A2:A40,0))+1)))</f>
        <v>OFF</v>
      </c>
      <c r="C27" s="24" t="str">
        <f ca="1">IF(ISNA(MATCH(23,DATA_1!A2:A40,0)),"",IF(INDIRECT("DATA_1!D"&amp;(MATCH(23,DATA_1!A2:A40,0))+1)=999.99,"OFF",INDIRECT("DATA_1!D"&amp;(MATCH(23,DATA_1!A2:A40,0))+1)))</f>
        <v>OFF</v>
      </c>
      <c r="D27" s="24">
        <v>0.02</v>
      </c>
      <c r="E27" s="45">
        <v>0.01</v>
      </c>
      <c r="F27" s="23">
        <v>0.01</v>
      </c>
      <c r="G27" s="68" t="str">
        <f ca="1">IF(ISNA(MATCH(23,DATA_1!A2:A40,0)),"",IF(INDIRECT("DATA_1!H"&amp;(MATCH(23,DATA_1!A2:A40,0))+1)=999.99,"OFF",INDIRECT("DATA_1!H"&amp;(MATCH(23,DATA_1!A2:A40,0))+1)))</f>
        <v>OFF</v>
      </c>
      <c r="H27" s="134">
        <v>0.02</v>
      </c>
      <c r="I27" s="135"/>
    </row>
    <row r="28" spans="1:9" ht="22.35" customHeight="1" thickTop="1" thickBot="1" x14ac:dyDescent="0.25">
      <c r="A28" s="35">
        <v>24</v>
      </c>
      <c r="B28" s="52" t="str">
        <f ca="1">IF(ISNA(MATCH(24,DATA_1!A2:A40,0)),"",IF(INDIRECT("DATA_1!C"&amp;(MATCH(24,DATA_1!A2:A40,0))+1)=999.99,"OFF",INDIRECT("DATA_1!C"&amp;(MATCH(24,DATA_1!A2:A40,0))+1)))</f>
        <v>OFF</v>
      </c>
      <c r="C28" s="24" t="str">
        <f ca="1">IF(ISNA(MATCH(24,DATA_1!A2:A40,0)),"",IF(INDIRECT("DATA_1!D"&amp;(MATCH(24,DATA_1!A2:A40,0))+1)=999.99,"OFF",INDIRECT("DATA_1!D"&amp;(MATCH(24,DATA_1!A2:A40,0))+1)))</f>
        <v>OFF</v>
      </c>
      <c r="D28" s="24">
        <v>0.01</v>
      </c>
      <c r="E28" s="45">
        <v>0.01</v>
      </c>
      <c r="F28" s="23">
        <v>0.01</v>
      </c>
      <c r="G28" s="68" t="str">
        <f ca="1">IF(ISNA(MATCH(24,DATA_1!A2:A40,0)),"",IF(INDIRECT("DATA_1!H"&amp;(MATCH(24,DATA_1!A2:A40,0))+1)=999.99,"OFF",INDIRECT("DATA_1!H"&amp;(MATCH(24,DATA_1!A2:A40,0))+1)))</f>
        <v>OFF</v>
      </c>
      <c r="H28" s="134">
        <v>0.01</v>
      </c>
      <c r="I28" s="135"/>
    </row>
    <row r="29" spans="1:9" ht="22.35" customHeight="1" thickTop="1" thickBot="1" x14ac:dyDescent="0.25">
      <c r="A29" s="35">
        <v>25</v>
      </c>
      <c r="B29" s="52" t="str">
        <f ca="1">IF(ISNA(MATCH(25,DATA_1!A2:A40,0)),"",IF(INDIRECT("DATA_1!C"&amp;(MATCH(25,DATA_1!A2:A40,0))+1)=999.99,"OFF",INDIRECT("DATA_1!C"&amp;(MATCH(25,DATA_1!A2:A40,0))+1)))</f>
        <v>OFF</v>
      </c>
      <c r="C29" s="24" t="str">
        <f ca="1">IF(ISNA(MATCH(25,DATA_1!A2:A40,0)),"",IF(INDIRECT("DATA_1!D"&amp;(MATCH(25,DATA_1!A2:A40,0))+1)=999.99,"OFF",INDIRECT("DATA_1!D"&amp;(MATCH(25,DATA_1!A2:A40,0))+1)))</f>
        <v>OFF</v>
      </c>
      <c r="D29" s="24">
        <v>0.01</v>
      </c>
      <c r="E29" s="45">
        <v>0.01</v>
      </c>
      <c r="F29" s="23" t="str">
        <f ca="1">IF(ISNA(MATCH(25,DATA_1!A2:A40,0)),"",IF(INDIRECT("DATA_1!G"&amp;(MATCH(25,DATA_1!A2:A40,0))+1)=999.99,"OFF",INDIRECT("DATA_1!G"&amp;(MATCH(25,DATA_1!A2:A40,0))+1)))</f>
        <v>OFF</v>
      </c>
      <c r="G29" s="68" t="str">
        <f ca="1">IF(ISNA(MATCH(25,DATA_1!A2:A40,0)),"",IF(INDIRECT("DATA_1!H"&amp;(MATCH(25,DATA_1!A2:A40,0))+1)=999.99,"OFF",INDIRECT("DATA_1!H"&amp;(MATCH(25,DATA_1!A2:A40,0))+1)))</f>
        <v>OFF</v>
      </c>
      <c r="H29" s="134">
        <v>0.01</v>
      </c>
      <c r="I29" s="135"/>
    </row>
    <row r="30" spans="1:9" ht="22.35" customHeight="1" thickTop="1" thickBot="1" x14ac:dyDescent="0.25">
      <c r="A30" s="35">
        <v>26</v>
      </c>
      <c r="B30" s="52" t="str">
        <f ca="1">IF(ISNA(MATCH(26,DATA_1!A2:A40,0)),"",IF(INDIRECT("DATA_1!C"&amp;(MATCH(26,DATA_1!A2:A40,0))+1)=999.99,"OFF",INDIRECT("DATA_1!C"&amp;(MATCH(26,DATA_1!A2:A40,0))+1)))</f>
        <v>OFF</v>
      </c>
      <c r="C30" s="24" t="str">
        <f ca="1">IF(ISNA(MATCH(26,DATA_1!A2:A40,0)),"",IF(INDIRECT("DATA_1!D"&amp;(MATCH(26,DATA_1!A2:A40,0))+1)=999.99,"OFF",INDIRECT("DATA_1!D"&amp;(MATCH(26,DATA_1!A2:A40,0))+1)))</f>
        <v>OFF</v>
      </c>
      <c r="D30" s="24">
        <v>0.01</v>
      </c>
      <c r="E30" s="45">
        <v>0.01</v>
      </c>
      <c r="F30" s="23">
        <v>0.01</v>
      </c>
      <c r="G30" s="68" t="str">
        <f ca="1">IF(ISNA(MATCH(26,DATA_1!A2:A40,0)),"",IF(INDIRECT("DATA_1!H"&amp;(MATCH(26,DATA_1!A2:A40,0))+1)=999.99,"OFF",INDIRECT("DATA_1!H"&amp;(MATCH(26,DATA_1!A2:A40,0))+1)))</f>
        <v>OFF</v>
      </c>
      <c r="H30" s="134">
        <v>0.01</v>
      </c>
      <c r="I30" s="135"/>
    </row>
    <row r="31" spans="1:9" ht="22.35" customHeight="1" thickTop="1" thickBot="1" x14ac:dyDescent="0.25">
      <c r="A31" s="35">
        <v>27</v>
      </c>
      <c r="B31" s="52" t="str">
        <f ca="1">IF(ISNA(MATCH(27,DATA_1!A2:A40,0)),"",IF(INDIRECT("DATA_1!C"&amp;(MATCH(27,DATA_1!A2:A40,0))+1)=999.99,"OFF",INDIRECT("DATA_1!C"&amp;(MATCH(27,DATA_1!A2:A40,0))+1)))</f>
        <v>OFF</v>
      </c>
      <c r="C31" s="24" t="str">
        <f ca="1">IF(ISNA(MATCH(27,DATA_1!A2:A40,0)),"",IF(INDIRECT("DATA_1!D"&amp;(MATCH(27,DATA_1!A2:A40,0))+1)=999.99,"OFF",INDIRECT("DATA_1!D"&amp;(MATCH(27,DATA_1!A2:A40,0))+1)))</f>
        <v>OFF</v>
      </c>
      <c r="D31" s="24">
        <v>0.01</v>
      </c>
      <c r="E31" s="45">
        <v>0.02</v>
      </c>
      <c r="F31" s="23" t="str">
        <f ca="1">IF(ISNA(MATCH(27,DATA_1!A2:A40,0)),"",IF(INDIRECT("DATA_1!G"&amp;(MATCH(27,DATA_1!A2:A40,0))+1)=999.99,"OFF",INDIRECT("DATA_1!G"&amp;(MATCH(27,DATA_1!A2:A40,0))+1)))</f>
        <v>OFF</v>
      </c>
      <c r="G31" s="68" t="str">
        <f ca="1">IF(ISNA(MATCH(27,DATA_1!A2:A40,0)),"",IF(INDIRECT("DATA_1!H"&amp;(MATCH(27,DATA_1!A2:A40,0))+1)=999.99,"OFF",INDIRECT("DATA_1!H"&amp;(MATCH(27,DATA_1!A2:A40,0))+1)))</f>
        <v>OFF</v>
      </c>
      <c r="H31" s="134">
        <v>0.02</v>
      </c>
      <c r="I31" s="135"/>
    </row>
    <row r="32" spans="1:9" ht="22.35" customHeight="1" thickTop="1" thickBot="1" x14ac:dyDescent="0.25">
      <c r="A32" s="35">
        <v>28</v>
      </c>
      <c r="B32" s="52" t="str">
        <f ca="1">IF(ISNA(MATCH(28,DATA_1!A2:A40,0)),"",IF(INDIRECT("DATA_1!C"&amp;(MATCH(28,DATA_1!A2:A40,0))+1)=999.99,"OFF",INDIRECT("DATA_1!C"&amp;(MATCH(28,DATA_1!A2:A40,0))+1)))</f>
        <v>OFF</v>
      </c>
      <c r="C32" s="24" t="str">
        <f ca="1">IF(ISNA(MATCH(28,DATA_1!A2:A40,0)),"",IF(INDIRECT("DATA_1!D"&amp;(MATCH(28,DATA_1!A2:A40,0))+1)=999.99,"OFF",INDIRECT("DATA_1!D"&amp;(MATCH(28,DATA_1!A2:A40,0))+1)))</f>
        <v>OFF</v>
      </c>
      <c r="D32" s="24">
        <v>0.01</v>
      </c>
      <c r="E32" s="45">
        <v>0.02</v>
      </c>
      <c r="F32" s="23" t="str">
        <f ca="1">IF(ISNA(MATCH(28,DATA_1!A2:A40,0)),"",IF(INDIRECT("DATA_1!G"&amp;(MATCH(28,DATA_1!A2:A40,0))+1)=999.99,"OFF",INDIRECT("DATA_1!G"&amp;(MATCH(28,DATA_1!A2:A40,0))+1)))</f>
        <v>OFF</v>
      </c>
      <c r="G32" s="68" t="str">
        <f ca="1">IF(ISNA(MATCH(28,DATA_1!A2:A40,0)),"",IF(INDIRECT("DATA_1!H"&amp;(MATCH(28,DATA_1!A2:A40,0))+1)=999.99,"OFF",INDIRECT("DATA_1!H"&amp;(MATCH(28,DATA_1!A2:A40,0))+1)))</f>
        <v>OFF</v>
      </c>
      <c r="H32" s="134">
        <v>0.02</v>
      </c>
      <c r="I32" s="135"/>
    </row>
    <row r="33" spans="1:9" ht="22.35" customHeight="1" thickTop="1" thickBot="1" x14ac:dyDescent="0.25">
      <c r="A33" s="35">
        <v>29</v>
      </c>
      <c r="B33" s="52" t="str">
        <f ca="1">IF(ISNA(MATCH(29,DATA_1!A2:A40,0)),"",IF(INDIRECT("DATA_1!C"&amp;(MATCH(29,DATA_1!A2:A40,0))+1)=999.99,"OFF",INDIRECT("DATA_1!C"&amp;(MATCH(29,DATA_1!A2:A40,0))+1)))</f>
        <v>OFF</v>
      </c>
      <c r="C33" s="24" t="str">
        <f ca="1">IF(ISNA(MATCH(29,DATA_1!A2:A40,0)),"",IF(INDIRECT("DATA_1!D"&amp;(MATCH(29,DATA_1!A2:A40,0))+1)=999.99,"OFF",INDIRECT("DATA_1!D"&amp;(MATCH(29,DATA_1!A2:A40,0))+1)))</f>
        <v>OFF</v>
      </c>
      <c r="D33" s="24">
        <v>0.02</v>
      </c>
      <c r="E33" s="45">
        <v>0.02</v>
      </c>
      <c r="F33" s="23">
        <v>0.02</v>
      </c>
      <c r="G33" s="68" t="str">
        <f ca="1">IF(ISNA(MATCH(29,DATA_1!A2:A40,0)),"",IF(INDIRECT("DATA_1!H"&amp;(MATCH(29,DATA_1!A2:A40,0))+1)=999.99,"OFF",INDIRECT("DATA_1!H"&amp;(MATCH(29,DATA_1!A2:A40,0))+1)))</f>
        <v>OFF</v>
      </c>
      <c r="H33" s="134">
        <v>0.02</v>
      </c>
      <c r="I33" s="135"/>
    </row>
    <row r="34" spans="1:9" ht="22.35" customHeight="1" thickTop="1" thickBot="1" x14ac:dyDescent="0.25">
      <c r="A34" s="35">
        <v>30</v>
      </c>
      <c r="B34" s="52" t="str">
        <f ca="1">IF(ISNA(MATCH(30,DATA_1!A2:A40,0)),"",IF(INDIRECT("DATA_1!C"&amp;(MATCH(30,DATA_1!A2:A40,0))+1)=999.99,"OFF",INDIRECT("DATA_1!C"&amp;(MATCH(30,DATA_1!A2:A40,0))+1)))</f>
        <v>OFF</v>
      </c>
      <c r="C34" s="24" t="str">
        <f ca="1">IF(ISNA(MATCH(30,DATA_1!A2:A40,0)),"",IF(INDIRECT("DATA_1!D"&amp;(MATCH(30,DATA_1!A2:A40,0))+1)=999.99,"OFF",INDIRECT("DATA_1!D"&amp;(MATCH(30,DATA_1!A2:A40,0))+1)))</f>
        <v>OFF</v>
      </c>
      <c r="D34" s="24">
        <v>0.02</v>
      </c>
      <c r="E34" s="45">
        <v>0.02</v>
      </c>
      <c r="F34" s="23">
        <v>0.02</v>
      </c>
      <c r="G34" s="68" t="str">
        <f ca="1">IF(ISNA(MATCH(30,DATA_1!A2:A40,0)),"",IF(INDIRECT("DATA_1!H"&amp;(MATCH(30,DATA_1!A2:A40,0))+1)=999.99,"OFF",INDIRECT("DATA_1!H"&amp;(MATCH(30,DATA_1!A2:A40,0))+1)))</f>
        <v>OFF</v>
      </c>
      <c r="H34" s="134">
        <v>0.02</v>
      </c>
      <c r="I34" s="135"/>
    </row>
    <row r="35" spans="1:9" ht="22.35" customHeight="1" thickTop="1" thickBot="1" x14ac:dyDescent="0.25">
      <c r="A35" s="75">
        <v>31</v>
      </c>
      <c r="B35" s="52" t="str">
        <f ca="1">IF(ISNA(MATCH(31,DATA_1!A2:A40,0)),"",IF(INDIRECT("DATA_1!C"&amp;(MATCH(31,DATA_1!A2:A40,0))+1)=999.99,"OFF",INDIRECT("DATA_1!C"&amp;(MATCH(31,DATA_1!A2:A40,0))+1)))</f>
        <v>OFF</v>
      </c>
      <c r="C35" s="24" t="str">
        <f ca="1">IF(ISNA(MATCH(31,DATA_1!A2:A40,0)),"",IF(INDIRECT("DATA_1!D"&amp;(MATCH(31,DATA_1!A2:A40,0))+1)=999.99,"OFF",INDIRECT("DATA_1!D"&amp;(MATCH(31,DATA_1!A2:A40,0))+1)))</f>
        <v>OFF</v>
      </c>
      <c r="D35" s="24" t="str">
        <f ca="1">IF(ISNA(MATCH(31,DATA_1!A2:A40,0)),"",IF(INDIRECT("DATA_1!E"&amp;(MATCH(31,DATA_1!A2:A40,0))+1)=999.99,"OFF",INDIRECT("DATA_1!E"&amp;(MATCH(31,DATA_1!A2:A40,0))+1)))</f>
        <v>OFF</v>
      </c>
      <c r="E35" s="45">
        <v>0.02</v>
      </c>
      <c r="F35" s="23">
        <v>0.02</v>
      </c>
      <c r="G35" s="68" t="str">
        <f ca="1">IF(ISNA(MATCH(31,DATA_1!A2:A40,0)),"",IF(INDIRECT("DATA_1!H"&amp;(MATCH(31,DATA_1!A2:A40,0))+1)=999.99,"OFF",INDIRECT("DATA_1!H"&amp;(MATCH(31,DATA_1!A2:A40,0))+1)))</f>
        <v>OFF</v>
      </c>
      <c r="H35" s="122">
        <v>0.02</v>
      </c>
      <c r="I35" s="123"/>
    </row>
    <row r="36" spans="1:9" s="13" customFormat="1" ht="20.85" customHeight="1" thickTop="1" thickBot="1" x14ac:dyDescent="0.3">
      <c r="A36" s="124" t="s">
        <v>3</v>
      </c>
      <c r="B36" s="125"/>
      <c r="C36" s="126"/>
      <c r="D36" s="126"/>
      <c r="E36" s="127"/>
      <c r="F36" s="128" t="s">
        <v>7</v>
      </c>
      <c r="G36" s="129"/>
      <c r="H36" s="129"/>
      <c r="I36" s="130"/>
    </row>
    <row r="37" spans="1:9" s="53" customFormat="1" ht="36.950000000000003" customHeight="1" thickTop="1" x14ac:dyDescent="0.2">
      <c r="A37" s="131" t="s">
        <v>23</v>
      </c>
      <c r="B37" s="132"/>
      <c r="C37" s="132"/>
      <c r="D37" s="132"/>
      <c r="E37" s="90" t="s">
        <v>73</v>
      </c>
      <c r="F37" s="133" t="s">
        <v>68</v>
      </c>
      <c r="G37" s="133"/>
      <c r="H37" s="133" t="s">
        <v>32</v>
      </c>
      <c r="I37" s="133"/>
    </row>
    <row r="38" spans="1:9" s="53" customFormat="1" ht="15" x14ac:dyDescent="0.2">
      <c r="A38" s="102" t="s">
        <v>49</v>
      </c>
      <c r="B38" s="103"/>
      <c r="C38" s="103"/>
      <c r="D38" s="103"/>
      <c r="E38" s="65" t="s">
        <v>73</v>
      </c>
      <c r="F38" s="104" t="s">
        <v>73</v>
      </c>
      <c r="G38" s="105"/>
      <c r="H38" s="104" t="s">
        <v>73</v>
      </c>
      <c r="I38" s="108"/>
    </row>
    <row r="39" spans="1:9" s="53" customFormat="1" ht="22.5" customHeight="1" thickBot="1" x14ac:dyDescent="0.25">
      <c r="A39" s="110" t="s">
        <v>41</v>
      </c>
      <c r="B39" s="111"/>
      <c r="C39" s="111"/>
      <c r="D39" s="111"/>
      <c r="E39" s="83" t="s">
        <v>73</v>
      </c>
      <c r="F39" s="106"/>
      <c r="G39" s="107"/>
      <c r="H39" s="106"/>
      <c r="I39" s="109"/>
    </row>
    <row r="40" spans="1:9" s="13" customFormat="1" ht="20.25" customHeight="1" thickTop="1" thickBot="1" x14ac:dyDescent="0.3">
      <c r="A40" s="115" t="s">
        <v>16</v>
      </c>
      <c r="B40" s="116"/>
      <c r="C40" s="116"/>
      <c r="D40" s="116"/>
      <c r="E40" s="117"/>
      <c r="F40" s="112" t="s">
        <v>75</v>
      </c>
      <c r="G40" s="113"/>
      <c r="H40" s="113"/>
      <c r="I40" s="114"/>
    </row>
    <row r="41" spans="1:9" s="13" customFormat="1" ht="20.25" customHeight="1" thickTop="1" thickBot="1" x14ac:dyDescent="0.3">
      <c r="A41" s="115"/>
      <c r="B41" s="118"/>
      <c r="C41" s="118"/>
      <c r="D41" s="118"/>
      <c r="E41" s="117"/>
      <c r="F41" s="112" t="s">
        <v>76</v>
      </c>
      <c r="G41" s="113"/>
      <c r="H41" s="114"/>
      <c r="I41" s="54" t="s">
        <v>78</v>
      </c>
    </row>
    <row r="42" spans="1:9" s="13" customFormat="1" ht="21" customHeight="1" thickTop="1" thickBot="1" x14ac:dyDescent="0.3">
      <c r="A42" s="119"/>
      <c r="B42" s="120"/>
      <c r="C42" s="120"/>
      <c r="D42" s="120"/>
      <c r="E42" s="121"/>
      <c r="F42" s="112" t="s">
        <v>77</v>
      </c>
      <c r="G42" s="113"/>
      <c r="H42" s="114"/>
      <c r="I42" s="54" t="s">
        <v>79</v>
      </c>
    </row>
    <row r="43" spans="1:9" s="92" customFormat="1" ht="14.25" customHeight="1" thickTop="1" x14ac:dyDescent="0.2">
      <c r="A43" s="98" t="s">
        <v>69</v>
      </c>
      <c r="B43" s="98"/>
      <c r="C43" s="98"/>
      <c r="D43" s="98"/>
      <c r="E43" s="98"/>
      <c r="F43" s="98"/>
      <c r="G43" s="98"/>
      <c r="H43" s="98"/>
      <c r="I43" s="98"/>
    </row>
    <row r="44" spans="1:9" s="92" customFormat="1" ht="18.75" customHeight="1" x14ac:dyDescent="0.2">
      <c r="A44" s="99" t="s">
        <v>44</v>
      </c>
      <c r="B44" s="99"/>
      <c r="C44" s="99"/>
      <c r="D44" s="99"/>
      <c r="E44" s="99"/>
      <c r="F44" s="99"/>
      <c r="G44" s="99"/>
      <c r="H44" s="99"/>
      <c r="I44" s="99"/>
    </row>
    <row r="45" spans="1:9" ht="12.75" customHeight="1" x14ac:dyDescent="0.2">
      <c r="A45" s="97" t="s">
        <v>46</v>
      </c>
      <c r="B45" s="97"/>
      <c r="C45" s="97"/>
      <c r="D45" s="97"/>
      <c r="E45" s="97"/>
      <c r="F45" s="97"/>
      <c r="G45" s="97"/>
      <c r="H45" s="97"/>
      <c r="I45" s="97"/>
    </row>
    <row r="46" spans="1:9" ht="21" customHeight="1" x14ac:dyDescent="0.2">
      <c r="A46" s="100" t="s">
        <v>30</v>
      </c>
      <c r="B46" s="100"/>
      <c r="C46" s="100"/>
      <c r="D46" s="100"/>
      <c r="E46" s="100"/>
      <c r="F46" s="100"/>
      <c r="G46" s="100"/>
      <c r="H46" s="91" t="s">
        <v>31</v>
      </c>
      <c r="I46" s="73" t="s">
        <v>74</v>
      </c>
    </row>
    <row r="47" spans="1:9" ht="25.5" x14ac:dyDescent="0.2">
      <c r="A47" s="16" t="s">
        <v>15</v>
      </c>
      <c r="B47" s="101" t="s">
        <v>70</v>
      </c>
      <c r="C47" s="101"/>
      <c r="D47" s="14" t="s">
        <v>51</v>
      </c>
      <c r="E47" s="29"/>
      <c r="F47" s="14" t="s">
        <v>22</v>
      </c>
      <c r="G47" s="14" t="s">
        <v>60</v>
      </c>
      <c r="H47" s="36" t="s">
        <v>9</v>
      </c>
      <c r="I47" s="79">
        <v>0.5</v>
      </c>
    </row>
    <row r="48" spans="1:9" x14ac:dyDescent="0.2">
      <c r="A48" s="84"/>
      <c r="B48" s="3"/>
      <c r="C48" s="3"/>
      <c r="D48" s="3"/>
      <c r="E48" s="3"/>
      <c r="F48" s="3"/>
      <c r="G48" s="3"/>
      <c r="H48" s="3"/>
      <c r="I48" s="50"/>
    </row>
    <row r="49" spans="1:9" ht="48.6" customHeight="1" x14ac:dyDescent="0.2">
      <c r="A49" s="88" t="s">
        <v>39</v>
      </c>
      <c r="B49" s="27" t="s">
        <v>0</v>
      </c>
      <c r="C49" s="6" t="s">
        <v>17</v>
      </c>
      <c r="D49" s="6" t="s">
        <v>35</v>
      </c>
      <c r="E49" s="6" t="s">
        <v>11</v>
      </c>
      <c r="F49" s="6" t="s">
        <v>61</v>
      </c>
      <c r="G49" s="6" t="s">
        <v>14</v>
      </c>
      <c r="H49" s="6" t="s">
        <v>36</v>
      </c>
      <c r="I49" s="59" t="s">
        <v>42</v>
      </c>
    </row>
    <row r="50" spans="1:9" ht="15.75" thickBot="1" x14ac:dyDescent="0.25">
      <c r="A50" s="51"/>
      <c r="B50" s="10" t="s">
        <v>58</v>
      </c>
      <c r="C50" s="10" t="s">
        <v>8</v>
      </c>
      <c r="D50" s="60" t="s">
        <v>62</v>
      </c>
      <c r="E50" s="10" t="s">
        <v>43</v>
      </c>
      <c r="F50" s="10"/>
      <c r="G50" s="10" t="s">
        <v>57</v>
      </c>
      <c r="H50" s="10" t="s">
        <v>65</v>
      </c>
      <c r="I50" s="30" t="s">
        <v>47</v>
      </c>
    </row>
    <row r="51" spans="1:9" ht="24.95" customHeight="1" thickTop="1" thickBot="1" x14ac:dyDescent="0.25">
      <c r="A51" s="17" t="str">
        <f ca="1">IF(ISNA(MATCH(1,DATA_1!A2:A40,0)),"1","1 / " &amp; (INDIRECT("DATA_1!R"&amp;(MATCH(1,DATA_1!A2:A40,0))+1)) &amp; ":00")</f>
        <v>1 / 12:00</v>
      </c>
      <c r="B51" s="66">
        <f ca="1">IF(ISNA(MATCH(1,DATA_1!A2:A40,0)),"",INDIRECT("DATA_1!T"&amp;(MATCH(1,DATA_1!A2:A40,0))+1))</f>
        <v>0.79</v>
      </c>
      <c r="C51" s="8">
        <v>111</v>
      </c>
      <c r="D51" s="80">
        <f t="shared" ref="D51:D81" ca="1" si="0">IF(B51="","",B51*C51)</f>
        <v>87.69</v>
      </c>
      <c r="E51" s="76">
        <v>11.1</v>
      </c>
      <c r="F51" s="23">
        <v>7.6</v>
      </c>
      <c r="G51" s="48">
        <f t="shared" ref="G51:G81" ca="1" si="1">IF(B51="","",IF(E51&lt;12.5,(0.353*$I$47)*(12.006+EXP(2.46-0.073*E51+0.125*B51+0.389*F51)),(0.361*$I$47)*(-2.261+EXP(2.69-0.065*E51+0.111*B51+0.361*F51))))</f>
        <v>21.619081070532005</v>
      </c>
      <c r="H51" s="87" t="str">
        <f t="shared" ref="H51:H81" ca="1" si="2">IF(D51&gt;G51,"YES","NO")</f>
        <v>YES</v>
      </c>
      <c r="I51" s="89">
        <v>836</v>
      </c>
    </row>
    <row r="52" spans="1:9" ht="24.95" customHeight="1" thickTop="1" thickBot="1" x14ac:dyDescent="0.25">
      <c r="A52" s="17" t="str">
        <f ca="1">IF(ISNA(MATCH(2,DATA_1!A2:A40,0)),"2","2 / " &amp; (INDIRECT("DATA_1!R"&amp;(MATCH(2,DATA_1!A2:A40,0))+1)) &amp; ":00")</f>
        <v>2 / 8:00</v>
      </c>
      <c r="B52" s="66">
        <f ca="1">IF(ISNA(MATCH(2,DATA_1!A2:A40,0)),"",INDIRECT("DATA_1!T"&amp;(MATCH(2,DATA_1!A2:A40,0))+1))</f>
        <v>0.77</v>
      </c>
      <c r="C52" s="4">
        <v>111</v>
      </c>
      <c r="D52" s="38">
        <f t="shared" ca="1" si="0"/>
        <v>85.47</v>
      </c>
      <c r="E52" s="62">
        <v>10.9</v>
      </c>
      <c r="F52" s="67">
        <v>7.67</v>
      </c>
      <c r="G52" s="48">
        <f t="shared" ca="1" si="1"/>
        <v>22.401298414226037</v>
      </c>
      <c r="H52" s="37" t="str">
        <f t="shared" ca="1" si="2"/>
        <v>YES</v>
      </c>
      <c r="I52" s="34">
        <v>841</v>
      </c>
    </row>
    <row r="53" spans="1:9" ht="24.95" customHeight="1" thickTop="1" thickBot="1" x14ac:dyDescent="0.25">
      <c r="A53" s="17" t="str">
        <f ca="1">IF(ISNA(MATCH(3,DATA_1!A2:A40,0)),"3","3 / " &amp; (INDIRECT("DATA_1!R"&amp;(MATCH(3,DATA_1!A2:A40,0))+1)) &amp; ":00")</f>
        <v>3 / 12:00</v>
      </c>
      <c r="B53" s="66">
        <v>0.79</v>
      </c>
      <c r="C53" s="4">
        <v>111</v>
      </c>
      <c r="D53" s="38">
        <f t="shared" si="0"/>
        <v>87.69</v>
      </c>
      <c r="E53" s="62">
        <v>10.7</v>
      </c>
      <c r="F53" s="67">
        <v>7.63</v>
      </c>
      <c r="G53" s="48">
        <f t="shared" si="1"/>
        <v>22.432557125954222</v>
      </c>
      <c r="H53" s="37" t="str">
        <f t="shared" si="2"/>
        <v>YES</v>
      </c>
      <c r="I53" s="34">
        <v>836</v>
      </c>
    </row>
    <row r="54" spans="1:9" ht="24.95" customHeight="1" thickTop="1" thickBot="1" x14ac:dyDescent="0.25">
      <c r="A54" s="17" t="str">
        <f ca="1">IF(ISNA(MATCH(4,DATA_1!A2:A40,0)),"4","4 / " &amp; (INDIRECT("DATA_1!R"&amp;(MATCH(4,DATA_1!A2:A40,0))+1)) &amp; ":00")</f>
        <v>4 / 8:00</v>
      </c>
      <c r="B54" s="66">
        <f ca="1">IF(ISNA(MATCH(4,DATA_1!A2:A40,0)),"",INDIRECT("DATA_1!T"&amp;(MATCH(4,DATA_1!A2:A40,0))+1))</f>
        <v>0.78</v>
      </c>
      <c r="C54" s="4">
        <v>111</v>
      </c>
      <c r="D54" s="38">
        <f t="shared" ca="1" si="0"/>
        <v>86.58</v>
      </c>
      <c r="E54" s="62">
        <v>10.6</v>
      </c>
      <c r="F54" s="67">
        <v>7.68</v>
      </c>
      <c r="G54" s="48">
        <f t="shared" ca="1" si="1"/>
        <v>22.957212251576198</v>
      </c>
      <c r="H54" s="37" t="str">
        <f t="shared" ca="1" si="2"/>
        <v>YES</v>
      </c>
      <c r="I54" s="34">
        <v>880</v>
      </c>
    </row>
    <row r="55" spans="1:9" ht="24.95" customHeight="1" thickTop="1" thickBot="1" x14ac:dyDescent="0.25">
      <c r="A55" s="17" t="str">
        <f ca="1">IF(ISNA(MATCH(5,DATA_1!A2:A40,0)),"5","5 / " &amp; (INDIRECT("DATA_1!R"&amp;(MATCH(5,DATA_1!A2:A40,0))+1)) &amp; ":00")</f>
        <v>5 / 16:00</v>
      </c>
      <c r="B55" s="66">
        <f ca="1">IF(ISNA(MATCH(5,DATA_1!A2:A40,0)),"",INDIRECT("DATA_1!T"&amp;(MATCH(5,DATA_1!A2:A40,0))+1))</f>
        <v>0.79</v>
      </c>
      <c r="C55" s="4">
        <v>111</v>
      </c>
      <c r="D55" s="38">
        <f t="shared" ca="1" si="0"/>
        <v>87.69</v>
      </c>
      <c r="E55" s="62">
        <v>10.5</v>
      </c>
      <c r="F55" s="67">
        <v>7.77</v>
      </c>
      <c r="G55" s="48">
        <f t="shared" ca="1" si="1"/>
        <v>23.884982342837105</v>
      </c>
      <c r="H55" s="37" t="str">
        <f t="shared" ca="1" si="2"/>
        <v>YES</v>
      </c>
      <c r="I55" s="34">
        <v>785</v>
      </c>
    </row>
    <row r="56" spans="1:9" ht="24.95" customHeight="1" thickTop="1" thickBot="1" x14ac:dyDescent="0.25">
      <c r="A56" s="17" t="str">
        <f ca="1">IF(ISNA(MATCH(6,DATA_1!A2:A40,0)),"6","6 / " &amp; (INDIRECT("DATA_1!R"&amp;(MATCH(6,DATA_1!A2:A40,0))+1)) &amp; ":00")</f>
        <v>6 / 16:00</v>
      </c>
      <c r="B56" s="66">
        <f ca="1">IF(ISNA(MATCH(6,DATA_1!A2:A40,0)),"",INDIRECT("DATA_1!T"&amp;(MATCH(6,DATA_1!A2:A40,0))+1))</f>
        <v>0.74</v>
      </c>
      <c r="C56" s="8">
        <v>111</v>
      </c>
      <c r="D56" s="38">
        <f t="shared" ca="1" si="0"/>
        <v>82.14</v>
      </c>
      <c r="E56" s="62">
        <v>10.7</v>
      </c>
      <c r="F56" s="67">
        <v>7.69</v>
      </c>
      <c r="G56" s="48">
        <f t="shared" ca="1" si="1"/>
        <v>22.782698242723487</v>
      </c>
      <c r="H56" s="37" t="str">
        <f t="shared" ca="1" si="2"/>
        <v>YES</v>
      </c>
      <c r="I56" s="34">
        <v>785</v>
      </c>
    </row>
    <row r="57" spans="1:9" ht="24.95" customHeight="1" thickTop="1" thickBot="1" x14ac:dyDescent="0.25">
      <c r="A57" s="17" t="str">
        <f ca="1">IF(ISNA(MATCH(7,DATA_1!A2:A40,0)),"7","7 / " &amp; (INDIRECT("DATA_1!R"&amp;(MATCH(7,DATA_1!A2:A40,0))+1)) &amp; ":00")</f>
        <v>7 / 12:00</v>
      </c>
      <c r="B57" s="66">
        <v>0.72</v>
      </c>
      <c r="C57" s="4">
        <v>111</v>
      </c>
      <c r="D57" s="38">
        <f t="shared" si="0"/>
        <v>79.92</v>
      </c>
      <c r="E57" s="62">
        <v>11</v>
      </c>
      <c r="F57" s="67">
        <v>7.44</v>
      </c>
      <c r="G57" s="48">
        <f t="shared" si="1"/>
        <v>20.415848318737506</v>
      </c>
      <c r="H57" s="37" t="str">
        <f t="shared" si="2"/>
        <v>YES</v>
      </c>
      <c r="I57" s="34">
        <v>784</v>
      </c>
    </row>
    <row r="58" spans="1:9" ht="24.95" customHeight="1" thickTop="1" thickBot="1" x14ac:dyDescent="0.25">
      <c r="A58" s="17" t="str">
        <f ca="1">IF(ISNA(MATCH(8,DATA_1!A2:A40,0)),"8","8 / " &amp; (INDIRECT("DATA_1!R"&amp;(MATCH(8,DATA_1!A2:A40,0))+1)) &amp; ":00")</f>
        <v>8 / 8:00</v>
      </c>
      <c r="B58" s="66">
        <f ca="1">IF(ISNA(MATCH(8,DATA_1!A2:A40,0)),"",INDIRECT("DATA_1!T"&amp;(MATCH(8,DATA_1!A2:A40,0))+1))</f>
        <v>0.74</v>
      </c>
      <c r="C58" s="4">
        <v>111</v>
      </c>
      <c r="D58" s="38">
        <f t="shared" ca="1" si="0"/>
        <v>82.14</v>
      </c>
      <c r="E58" s="62">
        <v>11</v>
      </c>
      <c r="F58" s="67">
        <v>7.39</v>
      </c>
      <c r="G58" s="48">
        <f t="shared" ca="1" si="1"/>
        <v>20.108331308941473</v>
      </c>
      <c r="H58" s="37" t="str">
        <f t="shared" ca="1" si="2"/>
        <v>YES</v>
      </c>
      <c r="I58" s="34">
        <v>786</v>
      </c>
    </row>
    <row r="59" spans="1:9" ht="24.95" customHeight="1" thickTop="1" thickBot="1" x14ac:dyDescent="0.25">
      <c r="A59" s="17" t="str">
        <f ca="1">IF(ISNA(MATCH(9,DATA_1!A2:A40,0)),"9","9 / " &amp; (INDIRECT("DATA_1!R"&amp;(MATCH(9,DATA_1!A2:A40,0))+1)) &amp; ":00")</f>
        <v>9 / 12:00</v>
      </c>
      <c r="B59" s="66">
        <v>0.78</v>
      </c>
      <c r="C59" s="4">
        <v>111</v>
      </c>
      <c r="D59" s="38">
        <f t="shared" si="0"/>
        <v>86.58</v>
      </c>
      <c r="E59" s="62">
        <v>11.1</v>
      </c>
      <c r="F59" s="67">
        <v>7.33</v>
      </c>
      <c r="G59" s="48">
        <f t="shared" si="1"/>
        <v>19.652949311581104</v>
      </c>
      <c r="H59" s="37" t="str">
        <f t="shared" si="2"/>
        <v>YES</v>
      </c>
      <c r="I59" s="34">
        <v>824</v>
      </c>
    </row>
    <row r="60" spans="1:9" ht="24.95" customHeight="1" thickTop="1" thickBot="1" x14ac:dyDescent="0.25">
      <c r="A60" s="17" t="str">
        <f ca="1">IF(ISNA(MATCH(10,DATA_1!A2:A40,0)),"10","10 / " &amp; (INDIRECT("DATA_1!R"&amp;(MATCH(10,DATA_1!A2:A40,0))+1)) &amp; ":00")</f>
        <v>10 / 8:00</v>
      </c>
      <c r="B60" s="66">
        <v>0.75</v>
      </c>
      <c r="C60" s="4">
        <v>111</v>
      </c>
      <c r="D60" s="38">
        <f t="shared" si="0"/>
        <v>83.25</v>
      </c>
      <c r="E60" s="62">
        <v>11.1</v>
      </c>
      <c r="F60" s="67">
        <v>7.37</v>
      </c>
      <c r="G60" s="48">
        <f t="shared" si="1"/>
        <v>19.861252163400714</v>
      </c>
      <c r="H60" s="37" t="str">
        <f t="shared" si="2"/>
        <v>YES</v>
      </c>
      <c r="I60" s="34">
        <v>830</v>
      </c>
    </row>
    <row r="61" spans="1:9" ht="24.95" customHeight="1" thickTop="1" thickBot="1" x14ac:dyDescent="0.25">
      <c r="A61" s="17" t="str">
        <f ca="1">IF(ISNA(MATCH(11,DATA_1!A2:A40,0)),"11","11 / " &amp; (INDIRECT("DATA_1!R"&amp;(MATCH(11,DATA_1!A2:A40,0))+1)) &amp; ":00")</f>
        <v>11 / 12:00</v>
      </c>
      <c r="B61" s="66">
        <f ca="1">IF(ISNA(MATCH(11,DATA_1!A2:A40,0)),"",INDIRECT("DATA_1!T"&amp;(MATCH(11,DATA_1!A2:A40,0))+1))</f>
        <v>0.74</v>
      </c>
      <c r="C61" s="8">
        <v>111</v>
      </c>
      <c r="D61" s="38">
        <f t="shared" ca="1" si="0"/>
        <v>82.14</v>
      </c>
      <c r="E61" s="62">
        <v>11.2</v>
      </c>
      <c r="F61" s="67">
        <v>7.37</v>
      </c>
      <c r="G61" s="48">
        <f t="shared" ca="1" si="1"/>
        <v>19.710203066912207</v>
      </c>
      <c r="H61" s="37" t="str">
        <f t="shared" ca="1" si="2"/>
        <v>YES</v>
      </c>
      <c r="I61" s="34">
        <v>829</v>
      </c>
    </row>
    <row r="62" spans="1:9" ht="24.95" customHeight="1" thickTop="1" thickBot="1" x14ac:dyDescent="0.25">
      <c r="A62" s="17" t="str">
        <f ca="1">IF(ISNA(MATCH(12,DATA_1!A2:A40,0)),"12","12 / " &amp; (INDIRECT("DATA_1!R"&amp;(MATCH(12,DATA_1!A2:A40,0))+1)) &amp; ":00")</f>
        <v>12 / 8:00</v>
      </c>
      <c r="B62" s="66">
        <f ca="1">IF(ISNA(MATCH(12,DATA_1!A2:A40,0)),"",INDIRECT("DATA_1!T"&amp;(MATCH(12,DATA_1!A2:A40,0))+1))</f>
        <v>0.72</v>
      </c>
      <c r="C62" s="4">
        <v>111</v>
      </c>
      <c r="D62" s="38">
        <f t="shared" ca="1" si="0"/>
        <v>79.92</v>
      </c>
      <c r="E62" s="62">
        <v>11.2</v>
      </c>
      <c r="F62" s="67">
        <v>7.25</v>
      </c>
      <c r="G62" s="48">
        <f t="shared" ca="1" si="1"/>
        <v>18.865999709677162</v>
      </c>
      <c r="H62" s="37" t="str">
        <f t="shared" ca="1" si="2"/>
        <v>YES</v>
      </c>
      <c r="I62" s="34">
        <v>827</v>
      </c>
    </row>
    <row r="63" spans="1:9" ht="24.95" customHeight="1" thickTop="1" thickBot="1" x14ac:dyDescent="0.25">
      <c r="A63" s="17" t="str">
        <f ca="1">IF(ISNA(MATCH(13,DATA_1!A2:A40,0)),"13","13 / " &amp; (INDIRECT("DATA_1!R"&amp;(MATCH(13,DATA_1!A2:A40,0))+1)) &amp; ":00")</f>
        <v>13 / 12:00</v>
      </c>
      <c r="B63" s="66">
        <f ca="1">IF(ISNA(MATCH(13,DATA_1!A2:A40,0)),"",INDIRECT("DATA_1!T"&amp;(MATCH(13,DATA_1!A2:A40,0))+1))</f>
        <v>0.72</v>
      </c>
      <c r="C63" s="4">
        <v>111</v>
      </c>
      <c r="D63" s="38">
        <f t="shared" ca="1" si="0"/>
        <v>79.92</v>
      </c>
      <c r="E63" s="62">
        <v>11</v>
      </c>
      <c r="F63" s="67">
        <v>7.2</v>
      </c>
      <c r="G63" s="48">
        <f t="shared" ca="1" si="1"/>
        <v>18.7849736941507</v>
      </c>
      <c r="H63" s="37" t="str">
        <f t="shared" ca="1" si="2"/>
        <v>YES</v>
      </c>
      <c r="I63" s="34">
        <v>828</v>
      </c>
    </row>
    <row r="64" spans="1:9" ht="24.95" customHeight="1" thickTop="1" thickBot="1" x14ac:dyDescent="0.25">
      <c r="A64" s="17" t="str">
        <f ca="1">IF(ISNA(MATCH(14,DATA_1!A2:A40,0)),"14","14 / " &amp; (INDIRECT("DATA_1!R"&amp;(MATCH(14,DATA_1!A2:A40,0))+1)) &amp; ":00")</f>
        <v>14 / 12:00</v>
      </c>
      <c r="B64" s="66">
        <f ca="1">IF(ISNA(MATCH(14,DATA_1!A2:A40,0)),"",INDIRECT("DATA_1!T"&amp;(MATCH(14,DATA_1!A2:A40,0))+1))</f>
        <v>0.72</v>
      </c>
      <c r="C64" s="4">
        <v>111</v>
      </c>
      <c r="D64" s="38">
        <f t="shared" ca="1" si="0"/>
        <v>79.92</v>
      </c>
      <c r="E64" s="62">
        <v>10.8</v>
      </c>
      <c r="F64" s="67">
        <v>7.22</v>
      </c>
      <c r="G64" s="48">
        <f t="shared" ca="1" si="1"/>
        <v>19.162161857339708</v>
      </c>
      <c r="H64" s="37" t="str">
        <f t="shared" ca="1" si="2"/>
        <v>YES</v>
      </c>
      <c r="I64" s="34">
        <v>785</v>
      </c>
    </row>
    <row r="65" spans="1:9" ht="24.95" customHeight="1" thickTop="1" thickBot="1" x14ac:dyDescent="0.25">
      <c r="A65" s="17" t="str">
        <f ca="1">IF(ISNA(MATCH(15,DATA_1!A2:A40,0)),"15","15 / " &amp; (INDIRECT("DATA_1!R"&amp;(MATCH(15,DATA_1!A2:A40,0))+1)) &amp; ":00")</f>
        <v>15 / 8:00</v>
      </c>
      <c r="B65" s="66">
        <f ca="1">IF(ISNA(MATCH(15,DATA_1!A2:A40,0)),"",INDIRECT("DATA_1!T"&amp;(MATCH(15,DATA_1!A2:A40,0))+1))</f>
        <v>0.74</v>
      </c>
      <c r="C65" s="4">
        <v>111</v>
      </c>
      <c r="D65" s="38">
        <f t="shared" ca="1" si="0"/>
        <v>82.14</v>
      </c>
      <c r="E65" s="62">
        <v>10.8</v>
      </c>
      <c r="F65" s="67">
        <v>7.25</v>
      </c>
      <c r="G65" s="48">
        <f t="shared" ca="1" si="1"/>
        <v>19.405381768255811</v>
      </c>
      <c r="H65" s="37" t="str">
        <f t="shared" ca="1" si="2"/>
        <v>YES</v>
      </c>
      <c r="I65" s="34">
        <v>786</v>
      </c>
    </row>
    <row r="66" spans="1:9" ht="24.95" customHeight="1" thickTop="1" thickBot="1" x14ac:dyDescent="0.25">
      <c r="A66" s="17" t="str">
        <f ca="1">IF(ISNA(MATCH(16,DATA_1!A2:A40,0)),"16","16 / " &amp; (INDIRECT("DATA_1!R"&amp;(MATCH(16,DATA_1!A2:A40,0))+1)) &amp; ":00")</f>
        <v>16 / 8:00</v>
      </c>
      <c r="B66" s="66">
        <f ca="1">IF(ISNA(MATCH(16,DATA_1!A2:A40,0)),"",INDIRECT("DATA_1!T"&amp;(MATCH(16,DATA_1!A2:A40,0))+1))</f>
        <v>0.72</v>
      </c>
      <c r="C66" s="8">
        <v>111</v>
      </c>
      <c r="D66" s="38">
        <f t="shared" ca="1" si="0"/>
        <v>79.92</v>
      </c>
      <c r="E66" s="62">
        <v>10.8</v>
      </c>
      <c r="F66" s="67">
        <v>7.25</v>
      </c>
      <c r="G66" s="48">
        <f t="shared" ca="1" si="1"/>
        <v>19.362219936105472</v>
      </c>
      <c r="H66" s="37" t="str">
        <f t="shared" ca="1" si="2"/>
        <v>YES</v>
      </c>
      <c r="I66" s="34">
        <v>769</v>
      </c>
    </row>
    <row r="67" spans="1:9" ht="24.95" customHeight="1" thickTop="1" thickBot="1" x14ac:dyDescent="0.25">
      <c r="A67" s="17" t="str">
        <f ca="1">IF(ISNA(MATCH(17,DATA_1!A2:A40,0)),"17","17 / " &amp; (INDIRECT("DATA_1!R"&amp;(MATCH(17,DATA_1!A2:A40,0))+1)) &amp; ":00")</f>
        <v>17 / 16:00</v>
      </c>
      <c r="B67" s="66">
        <v>0.72</v>
      </c>
      <c r="C67" s="4">
        <v>111</v>
      </c>
      <c r="D67" s="38">
        <f t="shared" si="0"/>
        <v>79.92</v>
      </c>
      <c r="E67" s="62">
        <v>10.8</v>
      </c>
      <c r="F67" s="67">
        <v>7.16</v>
      </c>
      <c r="G67" s="48">
        <f t="shared" si="1"/>
        <v>18.76898209324089</v>
      </c>
      <c r="H67" s="37" t="str">
        <f t="shared" si="2"/>
        <v>YES</v>
      </c>
      <c r="I67" s="34">
        <v>786</v>
      </c>
    </row>
    <row r="68" spans="1:9" ht="24.95" customHeight="1" thickTop="1" thickBot="1" x14ac:dyDescent="0.25">
      <c r="A68" s="17" t="str">
        <f ca="1">IF(ISNA(MATCH(18,DATA_1!A2:A40,0)),"18","18 / " &amp; (INDIRECT("DATA_1!R"&amp;(MATCH(18,DATA_1!A2:A40,0))+1)) &amp; ":00")</f>
        <v>18 / 8:00</v>
      </c>
      <c r="B68" s="66">
        <f ca="1">IF(ISNA(MATCH(18,DATA_1!A2:A40,0)),"",INDIRECT("DATA_1!T"&amp;(MATCH(18,DATA_1!A2:A40,0))+1))</f>
        <v>0.7</v>
      </c>
      <c r="C68" s="4">
        <v>111</v>
      </c>
      <c r="D68" s="38">
        <f t="shared" ca="1" si="0"/>
        <v>77.699999999999989</v>
      </c>
      <c r="E68" s="62">
        <v>10.7</v>
      </c>
      <c r="F68" s="67">
        <v>7.1</v>
      </c>
      <c r="G68" s="48">
        <f t="shared" ca="1" si="1"/>
        <v>18.463136468715195</v>
      </c>
      <c r="H68" s="37" t="str">
        <f t="shared" ca="1" si="2"/>
        <v>YES</v>
      </c>
      <c r="I68" s="34">
        <v>792</v>
      </c>
    </row>
    <row r="69" spans="1:9" ht="24.95" customHeight="1" thickTop="1" thickBot="1" x14ac:dyDescent="0.25">
      <c r="A69" s="17" t="str">
        <f ca="1">IF(ISNA(MATCH(19,DATA_1!A2:A40,0)),"19","19 / " &amp; (INDIRECT("DATA_1!R"&amp;(MATCH(19,DATA_1!A2:A40,0))+1)) &amp; ":00")</f>
        <v>19 / 8:00</v>
      </c>
      <c r="B69" s="66">
        <f ca="1">IF(ISNA(MATCH(19,DATA_1!A2:A40,0)),"",INDIRECT("DATA_1!T"&amp;(MATCH(19,DATA_1!A2:A40,0))+1))</f>
        <v>0.66</v>
      </c>
      <c r="C69" s="4">
        <v>111</v>
      </c>
      <c r="D69" s="38">
        <f t="shared" ca="1" si="0"/>
        <v>73.260000000000005</v>
      </c>
      <c r="E69" s="62">
        <v>10.6</v>
      </c>
      <c r="F69" s="67">
        <v>7.07</v>
      </c>
      <c r="G69" s="48">
        <f t="shared" ca="1" si="1"/>
        <v>18.310707706812284</v>
      </c>
      <c r="H69" s="37" t="str">
        <f t="shared" ca="1" si="2"/>
        <v>YES</v>
      </c>
      <c r="I69" s="34">
        <v>834</v>
      </c>
    </row>
    <row r="70" spans="1:9" ht="24.95" customHeight="1" thickTop="1" thickBot="1" x14ac:dyDescent="0.25">
      <c r="A70" s="17" t="str">
        <f ca="1">IF(ISNA(MATCH(20,DATA_1!A2:A40,0)),"20","20 / " &amp; (INDIRECT("DATA_1!R"&amp;(MATCH(20,DATA_1!A2:A40,0))+1)) &amp; ":00")</f>
        <v>20 / 12:00</v>
      </c>
      <c r="B70" s="26">
        <v>0.85</v>
      </c>
      <c r="C70" s="4">
        <v>111</v>
      </c>
      <c r="D70" s="38">
        <f t="shared" si="0"/>
        <v>94.35</v>
      </c>
      <c r="E70" s="62">
        <v>10.5</v>
      </c>
      <c r="F70" s="67">
        <v>7.11</v>
      </c>
      <c r="G70" s="48">
        <f t="shared" si="1"/>
        <v>19.083265042244026</v>
      </c>
      <c r="H70" s="37" t="str">
        <f t="shared" si="2"/>
        <v>YES</v>
      </c>
      <c r="I70" s="34">
        <v>832</v>
      </c>
    </row>
    <row r="71" spans="1:9" ht="24.95" customHeight="1" thickTop="1" thickBot="1" x14ac:dyDescent="0.25">
      <c r="A71" s="17" t="str">
        <f ca="1">IF(ISNA(MATCH(21,DATA_1!A2:A40,0)),"21","21 / " &amp; (INDIRECT("DATA_1!R"&amp;(MATCH(21,DATA_1!A2:A40,0))+1)) &amp; ":00")</f>
        <v>21 / 12:00</v>
      </c>
      <c r="B71" s="26">
        <f ca="1">IF(ISNA(MATCH(21,DATA_1!A2:A40,0)),"",INDIRECT("DATA_1!T"&amp;(MATCH(21,DATA_1!A2:A40,0))+1))</f>
        <v>0.97</v>
      </c>
      <c r="C71" s="8">
        <v>111</v>
      </c>
      <c r="D71" s="38">
        <f t="shared" ca="1" si="0"/>
        <v>107.67</v>
      </c>
      <c r="E71" s="62">
        <v>10.6</v>
      </c>
      <c r="F71" s="67">
        <v>7.18</v>
      </c>
      <c r="G71" s="48">
        <f t="shared" ca="1" si="1"/>
        <v>19.68629537189879</v>
      </c>
      <c r="H71" s="37" t="str">
        <f t="shared" ca="1" si="2"/>
        <v>YES</v>
      </c>
      <c r="I71" s="34">
        <v>829</v>
      </c>
    </row>
    <row r="72" spans="1:9" ht="24.95" customHeight="1" thickTop="1" thickBot="1" x14ac:dyDescent="0.25">
      <c r="A72" s="17" t="str">
        <f ca="1">IF(ISNA(MATCH(22,DATA_1!A2:A40,0)),"22","22 / " &amp; (INDIRECT("DATA_1!R"&amp;(MATCH(22,DATA_1!A2:A40,0))+1)) &amp; ":00")</f>
        <v>22 / 12:00</v>
      </c>
      <c r="B72" s="26">
        <f ca="1">IF(ISNA(MATCH(22,DATA_1!A2:A40,0)),"",INDIRECT("DATA_1!T"&amp;(MATCH(22,DATA_1!A2:A40,0))+1))</f>
        <v>1.03</v>
      </c>
      <c r="C72" s="4">
        <v>111</v>
      </c>
      <c r="D72" s="38">
        <f t="shared" ca="1" si="0"/>
        <v>114.33</v>
      </c>
      <c r="E72" s="62">
        <v>10.7</v>
      </c>
      <c r="F72" s="67">
        <v>7.5</v>
      </c>
      <c r="G72" s="48">
        <f t="shared" ca="1" si="1"/>
        <v>22.018976726819353</v>
      </c>
      <c r="H72" s="37" t="str">
        <f t="shared" ca="1" si="2"/>
        <v>YES</v>
      </c>
      <c r="I72" s="34">
        <v>828</v>
      </c>
    </row>
    <row r="73" spans="1:9" ht="24.95" customHeight="1" thickTop="1" thickBot="1" x14ac:dyDescent="0.25">
      <c r="A73" s="17" t="str">
        <f ca="1">IF(ISNA(MATCH(23,DATA_1!A2:A40,0)),"23","23 / " &amp; (INDIRECT("DATA_1!R"&amp;(MATCH(23,DATA_1!A2:A40,0))+1)) &amp; ":00")</f>
        <v>23 / 8:00</v>
      </c>
      <c r="B73" s="26">
        <v>1.05</v>
      </c>
      <c r="C73" s="4">
        <v>111</v>
      </c>
      <c r="D73" s="38">
        <f t="shared" si="0"/>
        <v>116.55000000000001</v>
      </c>
      <c r="E73" s="62">
        <v>10.6</v>
      </c>
      <c r="F73" s="67">
        <v>7.56</v>
      </c>
      <c r="G73" s="48">
        <f t="shared" si="1"/>
        <v>22.689509358881001</v>
      </c>
      <c r="H73" s="37" t="str">
        <f t="shared" si="2"/>
        <v>YES</v>
      </c>
      <c r="I73" s="34">
        <v>826</v>
      </c>
    </row>
    <row r="74" spans="1:9" ht="24.95" customHeight="1" thickTop="1" thickBot="1" x14ac:dyDescent="0.25">
      <c r="A74" s="17" t="str">
        <f ca="1">IF(ISNA(MATCH(24,DATA_1!A2:A40,0)),"24","24 / " &amp; (INDIRECT("DATA_1!R"&amp;(MATCH(24,DATA_1!A2:A40,0))+1)) &amp; ":00")</f>
        <v>24 / 8:00</v>
      </c>
      <c r="B74" s="26">
        <f ca="1">IF(ISNA(MATCH(24,DATA_1!A2:A40,0)),"",INDIRECT("DATA_1!T"&amp;(MATCH(24,DATA_1!A2:A40,0))+1))</f>
        <v>1.05</v>
      </c>
      <c r="C74" s="4">
        <v>111</v>
      </c>
      <c r="D74" s="38">
        <f t="shared" ca="1" si="0"/>
        <v>116.55000000000001</v>
      </c>
      <c r="E74" s="62">
        <v>10.5</v>
      </c>
      <c r="F74" s="67">
        <v>7.66</v>
      </c>
      <c r="G74" s="48">
        <f t="shared" ca="1" si="1"/>
        <v>23.662159381887328</v>
      </c>
      <c r="H74" s="37" t="str">
        <f t="shared" ca="1" si="2"/>
        <v>YES</v>
      </c>
      <c r="I74" s="34">
        <v>790</v>
      </c>
    </row>
    <row r="75" spans="1:9" ht="24.95" customHeight="1" thickTop="1" thickBot="1" x14ac:dyDescent="0.25">
      <c r="A75" s="17" t="str">
        <f ca="1">IF(ISNA(MATCH(25,DATA_1!A2:A40,0)),"25","25 / " &amp; (INDIRECT("DATA_1!R"&amp;(MATCH(25,DATA_1!A2:A40,0))+1)) &amp; ":00")</f>
        <v>25 / 8:00</v>
      </c>
      <c r="B75" s="26">
        <f ca="1">IF(ISNA(MATCH(25,DATA_1!A2:A40,0)),"",INDIRECT("DATA_1!T"&amp;(MATCH(25,DATA_1!A2:A40,0))+1))</f>
        <v>1.04</v>
      </c>
      <c r="C75" s="4">
        <v>111</v>
      </c>
      <c r="D75" s="38">
        <f t="shared" ca="1" si="0"/>
        <v>115.44</v>
      </c>
      <c r="E75" s="62">
        <v>10.199999999999999</v>
      </c>
      <c r="F75" s="67">
        <v>7.59</v>
      </c>
      <c r="G75" s="48">
        <f t="shared" ca="1" si="1"/>
        <v>23.52087112949722</v>
      </c>
      <c r="H75" s="37" t="str">
        <f t="shared" ca="1" si="2"/>
        <v>YES</v>
      </c>
      <c r="I75" s="34">
        <v>790</v>
      </c>
    </row>
    <row r="76" spans="1:9" ht="24.95" customHeight="1" thickTop="1" thickBot="1" x14ac:dyDescent="0.25">
      <c r="A76" s="17" t="str">
        <f ca="1">IF(ISNA(MATCH(26,DATA_1!A2:A40,0)),"26","26 / " &amp; (INDIRECT("DATA_1!R"&amp;(MATCH(26,DATA_1!A2:A40,0))+1)) &amp; ":00")</f>
        <v>26 / 16:00</v>
      </c>
      <c r="B76" s="26">
        <f ca="1">IF(ISNA(MATCH(26,DATA_1!A2:A40,0)),"",INDIRECT("DATA_1!T"&amp;(MATCH(26,DATA_1!A2:A40,0))+1))</f>
        <v>0.99</v>
      </c>
      <c r="C76" s="8">
        <v>111</v>
      </c>
      <c r="D76" s="38">
        <f t="shared" ca="1" si="0"/>
        <v>109.89</v>
      </c>
      <c r="E76" s="62">
        <v>10.4</v>
      </c>
      <c r="F76" s="67">
        <v>7.62</v>
      </c>
      <c r="G76" s="48">
        <f t="shared" ca="1" si="1"/>
        <v>23.325301532025517</v>
      </c>
      <c r="H76" s="37" t="str">
        <f t="shared" ca="1" si="2"/>
        <v>YES</v>
      </c>
      <c r="I76" s="34">
        <v>793</v>
      </c>
    </row>
    <row r="77" spans="1:9" ht="24.95" customHeight="1" thickTop="1" thickBot="1" x14ac:dyDescent="0.25">
      <c r="A77" s="17" t="str">
        <f ca="1">IF(ISNA(MATCH(27,DATA_1!A2:A40,0)),"27","27 / " &amp; (INDIRECT("DATA_1!R"&amp;(MATCH(27,DATA_1!A2:A40,0))+1)) &amp; ":00")</f>
        <v>27 / 8:00</v>
      </c>
      <c r="B77" s="26">
        <v>0.96</v>
      </c>
      <c r="C77" s="4">
        <v>111</v>
      </c>
      <c r="D77" s="38">
        <f t="shared" si="0"/>
        <v>106.56</v>
      </c>
      <c r="E77" s="62">
        <v>10.199999999999999</v>
      </c>
      <c r="F77" s="67">
        <v>7.59</v>
      </c>
      <c r="G77" s="48">
        <f t="shared" si="1"/>
        <v>23.307919540739658</v>
      </c>
      <c r="H77" s="37" t="str">
        <f t="shared" si="2"/>
        <v>YES</v>
      </c>
      <c r="I77" s="34">
        <v>784</v>
      </c>
    </row>
    <row r="78" spans="1:9" ht="24.95" customHeight="1" thickTop="1" thickBot="1" x14ac:dyDescent="0.25">
      <c r="A78" s="17" t="str">
        <f ca="1">IF(ISNA(MATCH(28,DATA_1!A2:A40,0)),"28","28 / " &amp; (INDIRECT("DATA_1!R"&amp;(MATCH(28,DATA_1!A2:A40,0))+1)) &amp; ":00")</f>
        <v>28 / 8:00</v>
      </c>
      <c r="B78" s="26">
        <f ca="1">IF(ISNA(MATCH(28,DATA_1!A2:A40,0)),"",INDIRECT("DATA_1!T"&amp;(MATCH(28,DATA_1!A2:A40,0))+1))</f>
        <v>0.96</v>
      </c>
      <c r="C78" s="4">
        <v>111</v>
      </c>
      <c r="D78" s="38">
        <f t="shared" ca="1" si="0"/>
        <v>106.56</v>
      </c>
      <c r="E78" s="62">
        <v>10.1</v>
      </c>
      <c r="F78" s="67">
        <v>7.62</v>
      </c>
      <c r="G78" s="48">
        <f t="shared" ca="1" si="1"/>
        <v>23.713708969018633</v>
      </c>
      <c r="H78" s="37" t="str">
        <f t="shared" ca="1" si="2"/>
        <v>YES</v>
      </c>
      <c r="I78" s="34">
        <v>790</v>
      </c>
    </row>
    <row r="79" spans="1:9" ht="24.95" customHeight="1" thickTop="1" thickBot="1" x14ac:dyDescent="0.25">
      <c r="A79" s="17" t="str">
        <f ca="1">IF(ISNA(MATCH(29,DATA_1!A2:A40,0)),"29","29 / " &amp; (INDIRECT("DATA_1!R"&amp;(MATCH(29,DATA_1!A2:A40,0))+1)) &amp; ":00")</f>
        <v>29 / 16:00</v>
      </c>
      <c r="B79" s="26">
        <v>0.93</v>
      </c>
      <c r="C79" s="4">
        <v>111</v>
      </c>
      <c r="D79" s="38">
        <f t="shared" si="0"/>
        <v>103.23</v>
      </c>
      <c r="E79" s="62">
        <v>9.9</v>
      </c>
      <c r="F79" s="67">
        <v>7.74</v>
      </c>
      <c r="G79" s="48">
        <f t="shared" si="1"/>
        <v>24.992480364477178</v>
      </c>
      <c r="H79" s="37" t="str">
        <f t="shared" si="2"/>
        <v>YES</v>
      </c>
      <c r="I79" s="34">
        <v>826</v>
      </c>
    </row>
    <row r="80" spans="1:9" ht="24.95" customHeight="1" thickTop="1" thickBot="1" x14ac:dyDescent="0.25">
      <c r="A80" s="17" t="str">
        <f ca="1">IF(ISNA(MATCH(30,DATA_1!A2:A40,0)),"30","30 / " &amp; (INDIRECT("DATA_1!R"&amp;(MATCH(30,DATA_1!A2:A40,0))+1)) &amp; ":00")</f>
        <v>30 / 8:00</v>
      </c>
      <c r="B80" s="26">
        <f ca="1">IF(ISNA(MATCH(30,DATA_1!A2:A40,0)),"",INDIRECT("DATA_1!T"&amp;(MATCH(30,DATA_1!A2:A40,0))+1))</f>
        <v>0.9</v>
      </c>
      <c r="C80" s="4">
        <v>111</v>
      </c>
      <c r="D80" s="38">
        <f t="shared" ca="1" si="0"/>
        <v>99.9</v>
      </c>
      <c r="E80" s="62">
        <v>9.6999999999999993</v>
      </c>
      <c r="F80" s="67">
        <v>7.64</v>
      </c>
      <c r="G80" s="48">
        <f t="shared" ca="1" si="1"/>
        <v>24.359795779120383</v>
      </c>
      <c r="H80" s="37" t="str">
        <f t="shared" ca="1" si="2"/>
        <v>YES</v>
      </c>
      <c r="I80" s="34">
        <v>823</v>
      </c>
    </row>
    <row r="81" spans="1:9" ht="24.95" customHeight="1" thickTop="1" thickBot="1" x14ac:dyDescent="0.25">
      <c r="A81" s="17" t="str">
        <f ca="1">IF(ISNA(MATCH(31,DATA_1!A2:A40,0)),"31","31 / " &amp; (INDIRECT("DATA_1!R"&amp;(MATCH(31,DATA_1!A2:A40,0))+1)) &amp; ":00")</f>
        <v>31 / 12:00</v>
      </c>
      <c r="B81" s="26">
        <f ca="1">IF(ISNA(MATCH(31,DATA_1!A2:A40,0)),"",INDIRECT("DATA_1!T"&amp;(MATCH(31,DATA_1!A2:A40,0))+1))</f>
        <v>0.89</v>
      </c>
      <c r="C81" s="4">
        <v>111</v>
      </c>
      <c r="D81" s="21">
        <f t="shared" ca="1" si="0"/>
        <v>98.79</v>
      </c>
      <c r="E81" s="78">
        <v>9.6</v>
      </c>
      <c r="F81" s="86">
        <v>7.67</v>
      </c>
      <c r="G81" s="21">
        <f t="shared" ca="1" si="1"/>
        <v>24.757414129188632</v>
      </c>
      <c r="H81" s="70" t="str">
        <f t="shared" ca="1" si="2"/>
        <v>YES</v>
      </c>
      <c r="I81" s="39">
        <v>825</v>
      </c>
    </row>
    <row r="82" spans="1:9" ht="16.5" thickTop="1" x14ac:dyDescent="0.3">
      <c r="A82" s="72" t="s">
        <v>55</v>
      </c>
      <c r="B82" s="12"/>
      <c r="C82" s="12"/>
      <c r="D82" s="82"/>
      <c r="E82" s="18"/>
      <c r="F82" s="32"/>
      <c r="G82" s="18"/>
      <c r="H82" s="94" t="s">
        <v>66</v>
      </c>
      <c r="I82" s="95"/>
    </row>
    <row r="83" spans="1:9" ht="25.5" customHeight="1" x14ac:dyDescent="0.2">
      <c r="A83" s="96" t="s">
        <v>20</v>
      </c>
      <c r="B83" s="96"/>
      <c r="C83" s="96"/>
      <c r="D83" s="96"/>
      <c r="E83" s="96"/>
      <c r="F83" s="96"/>
      <c r="G83" s="96"/>
      <c r="H83" s="96"/>
      <c r="I83" s="96"/>
    </row>
    <row r="84" spans="1:9" x14ac:dyDescent="0.2">
      <c r="A84" s="97" t="s">
        <v>40</v>
      </c>
      <c r="B84" s="97"/>
      <c r="C84" s="97"/>
      <c r="D84" s="97"/>
      <c r="E84" s="97"/>
      <c r="F84" s="97"/>
      <c r="G84" s="97"/>
      <c r="H84" s="97"/>
      <c r="I84" s="97"/>
    </row>
  </sheetData>
  <sheetProtection password="CCC7" sheet="1"/>
  <mergeCells count="57">
    <mergeCell ref="A1:G1"/>
    <mergeCell ref="A2:G2"/>
    <mergeCell ref="B3:D3"/>
    <mergeCell ref="F3:G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A36:E36"/>
    <mergeCell ref="F36:I36"/>
    <mergeCell ref="A37:D37"/>
    <mergeCell ref="F37:G37"/>
    <mergeCell ref="H37:I37"/>
    <mergeCell ref="A38:D38"/>
    <mergeCell ref="F38:G39"/>
    <mergeCell ref="H38:I39"/>
    <mergeCell ref="A39:D39"/>
    <mergeCell ref="F40:I40"/>
    <mergeCell ref="A40:E42"/>
    <mergeCell ref="F41:H41"/>
    <mergeCell ref="F42:H42"/>
    <mergeCell ref="H82:I82"/>
    <mergeCell ref="A83:I83"/>
    <mergeCell ref="A84:I84"/>
    <mergeCell ref="A43:I43"/>
    <mergeCell ref="A44:I44"/>
    <mergeCell ref="A45:I45"/>
    <mergeCell ref="A46:G46"/>
    <mergeCell ref="B47:C47"/>
  </mergeCells>
  <printOptions horizontalCentered="1"/>
  <pageMargins left="0.28000000000000003" right="0.28000000000000003" top="0.5" bottom="0.5" header="0.5" footer="0.5"/>
  <pageSetup scale="72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7"/>
  <sheetViews>
    <sheetView workbookViewId="0">
      <pane ySplit="1" topLeftCell="A2" activePane="bottomLeft" state="frozen"/>
      <selection pane="bottomLeft" activeCell="R16" sqref="R16"/>
    </sheetView>
  </sheetViews>
  <sheetFormatPr defaultColWidth="8.85546875" defaultRowHeight="12.75" x14ac:dyDescent="0.2"/>
  <cols>
    <col min="1" max="2" width="8.85546875" style="22"/>
    <col min="3" max="8" width="11.42578125" style="22" customWidth="1"/>
    <col min="9" max="11" width="15.7109375" style="22" customWidth="1"/>
    <col min="12" max="17" width="8.85546875" style="22"/>
    <col min="18" max="20" width="15.7109375" style="22" customWidth="1"/>
    <col min="21" max="16384" width="8.85546875" style="22"/>
  </cols>
  <sheetData>
    <row r="1" spans="1:20" s="55" customFormat="1" ht="43.5" customHeight="1" x14ac:dyDescent="0.2">
      <c r="A1" s="19" t="s">
        <v>59</v>
      </c>
      <c r="B1" s="19" t="s">
        <v>12</v>
      </c>
      <c r="C1" s="7" t="s">
        <v>25</v>
      </c>
      <c r="D1" s="7" t="s">
        <v>71</v>
      </c>
      <c r="E1" s="7" t="s">
        <v>45</v>
      </c>
      <c r="F1" s="7" t="s">
        <v>37</v>
      </c>
      <c r="G1" s="7" t="s">
        <v>52</v>
      </c>
      <c r="H1" s="7" t="s">
        <v>26</v>
      </c>
      <c r="I1" s="25" t="s">
        <v>33</v>
      </c>
      <c r="J1" s="25" t="s">
        <v>29</v>
      </c>
      <c r="K1" s="47" t="s">
        <v>27</v>
      </c>
      <c r="L1" s="9" t="s">
        <v>38</v>
      </c>
      <c r="M1" s="9" t="s">
        <v>5</v>
      </c>
      <c r="N1" s="9" t="s">
        <v>53</v>
      </c>
      <c r="O1" s="9" t="s">
        <v>6</v>
      </c>
      <c r="P1" s="9" t="s">
        <v>64</v>
      </c>
      <c r="Q1" s="9" t="s">
        <v>28</v>
      </c>
      <c r="R1" s="56" t="s">
        <v>54</v>
      </c>
      <c r="S1" s="28" t="s">
        <v>10</v>
      </c>
      <c r="T1" s="81" t="s">
        <v>72</v>
      </c>
    </row>
    <row r="2" spans="1:20" x14ac:dyDescent="0.2">
      <c r="A2" s="1">
        <v>1</v>
      </c>
      <c r="B2" s="1" t="s">
        <v>56</v>
      </c>
      <c r="C2" s="2">
        <v>999.99</v>
      </c>
      <c r="D2" s="2">
        <v>999.99</v>
      </c>
      <c r="E2" s="2">
        <v>999.99</v>
      </c>
      <c r="F2" s="2">
        <v>7.9769569999999998E-2</v>
      </c>
      <c r="G2" s="2">
        <v>5.6410889999999998E-2</v>
      </c>
      <c r="H2" s="2">
        <v>999.99</v>
      </c>
      <c r="I2" s="15">
        <v>12</v>
      </c>
      <c r="J2" s="15">
        <v>0</v>
      </c>
      <c r="K2" s="58">
        <v>8.2007300000000005E-2</v>
      </c>
      <c r="L2" s="2">
        <v>999.99</v>
      </c>
      <c r="M2" s="2">
        <v>999.99</v>
      </c>
      <c r="N2" s="2">
        <v>999.99</v>
      </c>
      <c r="O2" s="2">
        <v>0.78967050000000005</v>
      </c>
      <c r="P2" s="2">
        <v>0.79638359999999997</v>
      </c>
      <c r="Q2" s="2">
        <v>999.99</v>
      </c>
      <c r="R2" s="15">
        <v>12</v>
      </c>
      <c r="S2" s="77">
        <v>0.78967050000000005</v>
      </c>
      <c r="T2" s="33">
        <f t="shared" ref="T2:T45" si="0">IF(S2=0,"",ROUND(S2,2))</f>
        <v>0.79</v>
      </c>
    </row>
    <row r="3" spans="1:20" x14ac:dyDescent="0.2">
      <c r="A3" s="1">
        <v>2</v>
      </c>
      <c r="B3" s="1" t="s">
        <v>56</v>
      </c>
      <c r="C3" s="2">
        <v>999.99</v>
      </c>
      <c r="D3" s="2">
        <v>999.99</v>
      </c>
      <c r="E3" s="2">
        <v>8.9701909999999996E-2</v>
      </c>
      <c r="F3" s="2">
        <v>5.8059760000000002E-2</v>
      </c>
      <c r="G3" s="2">
        <v>5.2642090000000002E-2</v>
      </c>
      <c r="H3" s="2">
        <v>999.99</v>
      </c>
      <c r="I3" s="15">
        <v>8</v>
      </c>
      <c r="J3" s="15">
        <v>0</v>
      </c>
      <c r="K3" s="58">
        <v>9.015339E-2</v>
      </c>
      <c r="L3" s="2">
        <v>999.99</v>
      </c>
      <c r="M3" s="2">
        <v>999.99</v>
      </c>
      <c r="N3" s="2">
        <v>0.76935430000000005</v>
      </c>
      <c r="O3" s="2">
        <v>0.78672620000000004</v>
      </c>
      <c r="P3" s="2">
        <v>0.81028109999999998</v>
      </c>
      <c r="Q3" s="2">
        <v>999.99</v>
      </c>
      <c r="R3" s="15">
        <v>8</v>
      </c>
      <c r="S3" s="77">
        <v>0.76935430000000005</v>
      </c>
      <c r="T3" s="33">
        <f t="shared" si="0"/>
        <v>0.77</v>
      </c>
    </row>
    <row r="4" spans="1:20" x14ac:dyDescent="0.2">
      <c r="A4" s="1">
        <v>3</v>
      </c>
      <c r="B4" s="1" t="s">
        <v>56</v>
      </c>
      <c r="C4" s="2">
        <v>999.99</v>
      </c>
      <c r="D4" s="2">
        <v>999.99</v>
      </c>
      <c r="E4" s="2">
        <v>999.99</v>
      </c>
      <c r="F4" s="2">
        <v>3.3346649999999999E-2</v>
      </c>
      <c r="G4" s="2">
        <v>2.1765469999999999E-2</v>
      </c>
      <c r="H4" s="2">
        <v>999.99</v>
      </c>
      <c r="I4" s="15">
        <v>12</v>
      </c>
      <c r="J4" s="15">
        <v>0</v>
      </c>
      <c r="K4" s="58">
        <v>3.6291049999999998E-2</v>
      </c>
      <c r="L4" s="2">
        <v>999.99</v>
      </c>
      <c r="M4" s="2">
        <v>999.99</v>
      </c>
      <c r="N4" s="2">
        <v>999.99</v>
      </c>
      <c r="O4" s="2">
        <v>0.7973848</v>
      </c>
      <c r="P4" s="2">
        <v>0.80751340000000005</v>
      </c>
      <c r="Q4" s="2">
        <v>999.99</v>
      </c>
      <c r="R4" s="15">
        <v>12</v>
      </c>
      <c r="S4" s="77">
        <v>0.7973848</v>
      </c>
      <c r="T4" s="33">
        <f t="shared" si="0"/>
        <v>0.8</v>
      </c>
    </row>
    <row r="5" spans="1:20" x14ac:dyDescent="0.2">
      <c r="A5" s="1">
        <v>4</v>
      </c>
      <c r="B5" s="1" t="s">
        <v>56</v>
      </c>
      <c r="C5" s="2">
        <v>999.99</v>
      </c>
      <c r="D5" s="2">
        <v>999.99</v>
      </c>
      <c r="E5" s="2">
        <v>6.6107700000000005E-2</v>
      </c>
      <c r="F5" s="2">
        <v>2.4278020000000001E-2</v>
      </c>
      <c r="G5" s="2">
        <v>2.4199499999999999E-2</v>
      </c>
      <c r="H5" s="2">
        <v>999.99</v>
      </c>
      <c r="I5" s="15">
        <v>8</v>
      </c>
      <c r="J5" s="15">
        <v>0</v>
      </c>
      <c r="K5" s="58">
        <v>6.9307250000000001E-2</v>
      </c>
      <c r="L5" s="2">
        <v>999.99</v>
      </c>
      <c r="M5" s="2">
        <v>999.99</v>
      </c>
      <c r="N5" s="2">
        <v>0.78260399999999997</v>
      </c>
      <c r="O5" s="2">
        <v>0.80757219999999996</v>
      </c>
      <c r="P5" s="2">
        <v>0.82317739999999995</v>
      </c>
      <c r="Q5" s="2">
        <v>999.99</v>
      </c>
      <c r="R5" s="15">
        <v>8</v>
      </c>
      <c r="S5" s="77">
        <v>0.78260399999999997</v>
      </c>
      <c r="T5" s="33">
        <f t="shared" si="0"/>
        <v>0.78</v>
      </c>
    </row>
    <row r="6" spans="1:20" x14ac:dyDescent="0.2">
      <c r="A6" s="1">
        <v>5</v>
      </c>
      <c r="B6" s="1" t="s">
        <v>56</v>
      </c>
      <c r="C6" s="2">
        <v>999.99</v>
      </c>
      <c r="D6" s="2">
        <v>999.99</v>
      </c>
      <c r="E6" s="2">
        <v>3.7861359999999997E-2</v>
      </c>
      <c r="F6" s="2">
        <v>3.2600770000000001E-2</v>
      </c>
      <c r="G6" s="2">
        <v>3.5603999999999997E-2</v>
      </c>
      <c r="H6" s="2">
        <v>3.1540770000000003E-2</v>
      </c>
      <c r="I6" s="15">
        <v>8</v>
      </c>
      <c r="J6" s="15">
        <v>0</v>
      </c>
      <c r="K6" s="58">
        <v>4.0393529999999997E-2</v>
      </c>
      <c r="L6" s="2">
        <v>999.99</v>
      </c>
      <c r="M6" s="2">
        <v>999.99</v>
      </c>
      <c r="N6" s="2">
        <v>0.78878720000000002</v>
      </c>
      <c r="O6" s="2">
        <v>0.79638359999999997</v>
      </c>
      <c r="P6" s="2">
        <v>0.79385159999999999</v>
      </c>
      <c r="Q6" s="2">
        <v>0.80315570000000003</v>
      </c>
      <c r="R6" s="15">
        <v>16</v>
      </c>
      <c r="S6" s="77">
        <v>0.79</v>
      </c>
      <c r="T6" s="33">
        <f t="shared" si="0"/>
        <v>0.79</v>
      </c>
    </row>
    <row r="7" spans="1:20" x14ac:dyDescent="0.2">
      <c r="A7" s="1">
        <v>6</v>
      </c>
      <c r="B7" s="1" t="s">
        <v>56</v>
      </c>
      <c r="C7" s="2">
        <v>999.99</v>
      </c>
      <c r="D7" s="2">
        <v>999.99</v>
      </c>
      <c r="E7" s="2">
        <v>5.0482909999999999E-2</v>
      </c>
      <c r="F7" s="2">
        <v>2.0057740000000001E-2</v>
      </c>
      <c r="G7" s="2">
        <v>2.156918E-2</v>
      </c>
      <c r="H7" s="2">
        <v>2.0784029999999998E-2</v>
      </c>
      <c r="I7" s="15">
        <v>8</v>
      </c>
      <c r="J7" s="15">
        <v>0</v>
      </c>
      <c r="K7" s="58">
        <v>5.4958350000000003E-2</v>
      </c>
      <c r="L7" s="2">
        <v>999.99</v>
      </c>
      <c r="M7" s="2">
        <v>999.99</v>
      </c>
      <c r="N7" s="2">
        <v>0.78560719999999995</v>
      </c>
      <c r="O7" s="2">
        <v>0.77017880000000005</v>
      </c>
      <c r="P7" s="2">
        <v>0.74067609999999995</v>
      </c>
      <c r="Q7" s="2">
        <v>0.74450380000000005</v>
      </c>
      <c r="R7" s="15">
        <v>16</v>
      </c>
      <c r="S7" s="77">
        <v>0.74067609999999995</v>
      </c>
      <c r="T7" s="33">
        <f t="shared" si="0"/>
        <v>0.74</v>
      </c>
    </row>
    <row r="8" spans="1:20" x14ac:dyDescent="0.2">
      <c r="A8" s="1">
        <v>7</v>
      </c>
      <c r="B8" s="1" t="s">
        <v>56</v>
      </c>
      <c r="C8" s="2">
        <v>999.99</v>
      </c>
      <c r="D8" s="2">
        <v>999.99</v>
      </c>
      <c r="E8" s="2">
        <v>999.99</v>
      </c>
      <c r="F8" s="2">
        <v>3.3405549999999999E-2</v>
      </c>
      <c r="G8" s="2">
        <v>999.99</v>
      </c>
      <c r="H8" s="2">
        <v>999.99</v>
      </c>
      <c r="I8" s="15">
        <v>12</v>
      </c>
      <c r="J8" s="15">
        <v>0</v>
      </c>
      <c r="K8" s="58">
        <v>3.3444799999999997E-2</v>
      </c>
      <c r="L8" s="2">
        <v>999.99</v>
      </c>
      <c r="M8" s="2">
        <v>999.99</v>
      </c>
      <c r="N8" s="2">
        <v>999.99</v>
      </c>
      <c r="O8" s="2">
        <v>0.72542430000000002</v>
      </c>
      <c r="P8" s="2">
        <v>999.99</v>
      </c>
      <c r="Q8" s="2">
        <v>999.99</v>
      </c>
      <c r="R8" s="15">
        <v>12</v>
      </c>
      <c r="S8" s="77">
        <v>0.72542430000000002</v>
      </c>
      <c r="T8" s="33">
        <f t="shared" si="0"/>
        <v>0.73</v>
      </c>
    </row>
    <row r="9" spans="1:20" x14ac:dyDescent="0.2">
      <c r="A9" s="1">
        <v>8</v>
      </c>
      <c r="B9" s="1" t="s">
        <v>56</v>
      </c>
      <c r="C9" s="2">
        <v>999.99</v>
      </c>
      <c r="D9" s="2">
        <v>999.99</v>
      </c>
      <c r="E9" s="2">
        <v>5.3623570000000002E-2</v>
      </c>
      <c r="F9" s="2">
        <v>3.5898439999999997E-2</v>
      </c>
      <c r="G9" s="2">
        <v>3.8725040000000002E-2</v>
      </c>
      <c r="H9" s="2">
        <v>999.99</v>
      </c>
      <c r="I9" s="15">
        <v>8</v>
      </c>
      <c r="J9" s="15">
        <v>0</v>
      </c>
      <c r="K9" s="58">
        <v>5.38591E-2</v>
      </c>
      <c r="L9" s="2">
        <v>999.99</v>
      </c>
      <c r="M9" s="2">
        <v>999.99</v>
      </c>
      <c r="N9" s="2">
        <v>0.74114720000000001</v>
      </c>
      <c r="O9" s="2">
        <v>0.77989520000000001</v>
      </c>
      <c r="P9" s="2">
        <v>0.81399100000000002</v>
      </c>
      <c r="Q9" s="2">
        <v>999.99</v>
      </c>
      <c r="R9" s="15">
        <v>8</v>
      </c>
      <c r="S9" s="77">
        <v>0.74114720000000001</v>
      </c>
      <c r="T9" s="33">
        <f t="shared" si="0"/>
        <v>0.74</v>
      </c>
    </row>
    <row r="10" spans="1:20" x14ac:dyDescent="0.2">
      <c r="A10" s="1">
        <v>9</v>
      </c>
      <c r="B10" s="1" t="s">
        <v>56</v>
      </c>
      <c r="C10" s="2">
        <v>999.99</v>
      </c>
      <c r="D10" s="2">
        <v>999.99</v>
      </c>
      <c r="E10" s="2">
        <v>999.99</v>
      </c>
      <c r="F10" s="2">
        <v>5.8923429999999999E-2</v>
      </c>
      <c r="G10" s="2">
        <v>999.99</v>
      </c>
      <c r="H10" s="2">
        <v>999.99</v>
      </c>
      <c r="I10" s="15">
        <v>12</v>
      </c>
      <c r="J10" s="15">
        <v>0</v>
      </c>
      <c r="K10" s="58">
        <v>5.9316010000000002E-2</v>
      </c>
      <c r="L10" s="2">
        <v>999.99</v>
      </c>
      <c r="M10" s="2">
        <v>999.99</v>
      </c>
      <c r="N10" s="2">
        <v>999.99</v>
      </c>
      <c r="O10" s="2">
        <v>0.77441859999999996</v>
      </c>
      <c r="P10" s="2">
        <v>999.99</v>
      </c>
      <c r="Q10" s="2">
        <v>999.99</v>
      </c>
      <c r="R10" s="15">
        <v>12</v>
      </c>
      <c r="S10" s="77">
        <v>0.77441859999999996</v>
      </c>
      <c r="T10" s="33">
        <f t="shared" si="0"/>
        <v>0.77</v>
      </c>
    </row>
    <row r="11" spans="1:20" x14ac:dyDescent="0.2">
      <c r="A11" s="1">
        <v>10</v>
      </c>
      <c r="B11" s="1" t="s">
        <v>56</v>
      </c>
      <c r="C11" s="2">
        <v>999.99</v>
      </c>
      <c r="D11" s="2">
        <v>999.99</v>
      </c>
      <c r="E11" s="2">
        <v>5.780457E-2</v>
      </c>
      <c r="F11" s="2">
        <v>4.8480719999999998E-2</v>
      </c>
      <c r="G11" s="2">
        <v>3.25026E-2</v>
      </c>
      <c r="H11" s="2">
        <v>3.1972630000000002E-2</v>
      </c>
      <c r="I11" s="15">
        <v>8</v>
      </c>
      <c r="J11" s="15">
        <v>0</v>
      </c>
      <c r="K11" s="58">
        <v>5.9571199999999998E-2</v>
      </c>
      <c r="L11" s="2">
        <v>999.99</v>
      </c>
      <c r="M11" s="2">
        <v>999.99</v>
      </c>
      <c r="N11" s="2">
        <v>0.76111010000000001</v>
      </c>
      <c r="O11" s="2">
        <v>0.77924749999999998</v>
      </c>
      <c r="P11" s="2">
        <v>0.81251879999999999</v>
      </c>
      <c r="Q11" s="2">
        <v>0.8021547</v>
      </c>
      <c r="R11" s="15">
        <v>8</v>
      </c>
      <c r="S11" s="77">
        <v>0.76111010000000001</v>
      </c>
      <c r="T11" s="33">
        <f t="shared" si="0"/>
        <v>0.76</v>
      </c>
    </row>
    <row r="12" spans="1:20" x14ac:dyDescent="0.2">
      <c r="A12" s="1">
        <v>11</v>
      </c>
      <c r="B12" s="1" t="s">
        <v>56</v>
      </c>
      <c r="C12" s="2">
        <v>999.99</v>
      </c>
      <c r="D12" s="2">
        <v>999.99</v>
      </c>
      <c r="E12" s="2">
        <v>999.99</v>
      </c>
      <c r="F12" s="2">
        <v>6.5008449999999995E-2</v>
      </c>
      <c r="G12" s="2">
        <v>999.99</v>
      </c>
      <c r="H12" s="2">
        <v>999.99</v>
      </c>
      <c r="I12" s="15">
        <v>12</v>
      </c>
      <c r="J12" s="15">
        <v>0</v>
      </c>
      <c r="K12" s="58">
        <v>7.3056399999999994E-2</v>
      </c>
      <c r="L12" s="2">
        <v>999.99</v>
      </c>
      <c r="M12" s="2">
        <v>999.99</v>
      </c>
      <c r="N12" s="2">
        <v>999.99</v>
      </c>
      <c r="O12" s="2">
        <v>0.7394984</v>
      </c>
      <c r="P12" s="2">
        <v>999.99</v>
      </c>
      <c r="Q12" s="2">
        <v>999.99</v>
      </c>
      <c r="R12" s="15">
        <v>12</v>
      </c>
      <c r="S12" s="77">
        <v>0.7394984</v>
      </c>
      <c r="T12" s="33">
        <f t="shared" si="0"/>
        <v>0.74</v>
      </c>
    </row>
    <row r="13" spans="1:20" x14ac:dyDescent="0.2">
      <c r="A13" s="1">
        <v>12</v>
      </c>
      <c r="B13" s="1" t="s">
        <v>56</v>
      </c>
      <c r="C13" s="2">
        <v>999.99</v>
      </c>
      <c r="D13" s="2">
        <v>999.99</v>
      </c>
      <c r="E13" s="2">
        <v>4.3259369999999998E-2</v>
      </c>
      <c r="F13" s="2">
        <v>4.0864629999999999E-2</v>
      </c>
      <c r="G13" s="2">
        <v>4.5791539999999999E-2</v>
      </c>
      <c r="H13" s="2">
        <v>999.99</v>
      </c>
      <c r="I13" s="15">
        <v>16</v>
      </c>
      <c r="J13" s="15">
        <v>0</v>
      </c>
      <c r="K13" s="58">
        <v>4.7989990000000003E-2</v>
      </c>
      <c r="L13" s="2">
        <v>999.99</v>
      </c>
      <c r="M13" s="2">
        <v>999.99</v>
      </c>
      <c r="N13" s="2">
        <v>0.72124330000000003</v>
      </c>
      <c r="O13" s="2">
        <v>0.74627049999999995</v>
      </c>
      <c r="P13" s="2">
        <v>0.74998039999999999</v>
      </c>
      <c r="Q13" s="2">
        <v>999.99</v>
      </c>
      <c r="R13" s="15">
        <v>8</v>
      </c>
      <c r="S13" s="77">
        <v>0.72124330000000003</v>
      </c>
      <c r="T13" s="33">
        <f t="shared" si="0"/>
        <v>0.72</v>
      </c>
    </row>
    <row r="14" spans="1:20" x14ac:dyDescent="0.2">
      <c r="A14" s="1">
        <v>13</v>
      </c>
      <c r="B14" s="1" t="s">
        <v>56</v>
      </c>
      <c r="C14" s="2">
        <v>999.99</v>
      </c>
      <c r="D14" s="2">
        <v>999.99</v>
      </c>
      <c r="E14" s="2">
        <v>999.99</v>
      </c>
      <c r="F14" s="2">
        <v>5.1071779999999997E-2</v>
      </c>
      <c r="G14" s="2">
        <v>4.5713009999999998E-2</v>
      </c>
      <c r="H14" s="2">
        <v>999.99</v>
      </c>
      <c r="I14" s="15">
        <v>12</v>
      </c>
      <c r="J14" s="15">
        <v>0</v>
      </c>
      <c r="K14" s="58">
        <v>5.1150300000000003E-2</v>
      </c>
      <c r="L14" s="2">
        <v>999.99</v>
      </c>
      <c r="M14" s="2">
        <v>999.99</v>
      </c>
      <c r="N14" s="2">
        <v>999.99</v>
      </c>
      <c r="O14" s="2">
        <v>0.71523680000000001</v>
      </c>
      <c r="P14" s="2">
        <v>0.73042969999999996</v>
      </c>
      <c r="Q14" s="2">
        <v>999.99</v>
      </c>
      <c r="R14" s="15">
        <v>12</v>
      </c>
      <c r="S14" s="77">
        <v>0.71523680000000001</v>
      </c>
      <c r="T14" s="33">
        <f t="shared" si="0"/>
        <v>0.72</v>
      </c>
    </row>
    <row r="15" spans="1:20" x14ac:dyDescent="0.2">
      <c r="A15" s="1">
        <v>14</v>
      </c>
      <c r="B15" s="1" t="s">
        <v>56</v>
      </c>
      <c r="C15" s="2">
        <v>999.99</v>
      </c>
      <c r="D15" s="2">
        <v>999.99</v>
      </c>
      <c r="E15" s="2">
        <v>6.1298560000000002E-2</v>
      </c>
      <c r="F15" s="2">
        <v>4.6753360000000001E-2</v>
      </c>
      <c r="G15" s="2">
        <v>4.5870059999999997E-2</v>
      </c>
      <c r="H15" s="2">
        <v>999.99</v>
      </c>
      <c r="I15" s="15">
        <v>8</v>
      </c>
      <c r="J15" s="15">
        <v>0</v>
      </c>
      <c r="K15" s="58">
        <v>6.6382510000000006E-2</v>
      </c>
      <c r="L15" s="2">
        <v>999.99</v>
      </c>
      <c r="M15" s="2">
        <v>999.99</v>
      </c>
      <c r="N15" s="2">
        <v>0.72053670000000003</v>
      </c>
      <c r="O15" s="2">
        <v>0.72801539999999998</v>
      </c>
      <c r="P15" s="2">
        <v>0.75846020000000003</v>
      </c>
      <c r="Q15" s="2">
        <v>999.99</v>
      </c>
      <c r="R15" s="15">
        <v>12</v>
      </c>
      <c r="S15" s="77">
        <v>0.72053670000000003</v>
      </c>
      <c r="T15" s="33">
        <f t="shared" si="0"/>
        <v>0.72</v>
      </c>
    </row>
    <row r="16" spans="1:20" x14ac:dyDescent="0.2">
      <c r="A16" s="1">
        <v>15</v>
      </c>
      <c r="B16" s="1" t="s">
        <v>56</v>
      </c>
      <c r="C16" s="2">
        <v>999.99</v>
      </c>
      <c r="D16" s="2">
        <v>999.99</v>
      </c>
      <c r="E16" s="2">
        <v>6.2417420000000001E-2</v>
      </c>
      <c r="F16" s="2">
        <v>4.7793710000000003E-2</v>
      </c>
      <c r="G16" s="2">
        <v>4.541858E-2</v>
      </c>
      <c r="H16" s="2">
        <v>999.99</v>
      </c>
      <c r="I16" s="15">
        <v>8</v>
      </c>
      <c r="J16" s="15">
        <v>0</v>
      </c>
      <c r="K16" s="58">
        <v>6.6814330000000005E-2</v>
      </c>
      <c r="L16" s="2">
        <v>999.99</v>
      </c>
      <c r="M16" s="2">
        <v>999.99</v>
      </c>
      <c r="N16" s="2">
        <v>0.7382029</v>
      </c>
      <c r="O16" s="2">
        <v>0.74821380000000004</v>
      </c>
      <c r="P16" s="2">
        <v>0.75009820000000005</v>
      </c>
      <c r="Q16" s="2">
        <v>999.99</v>
      </c>
      <c r="R16" s="15">
        <v>8</v>
      </c>
      <c r="S16" s="77">
        <v>0.7382029</v>
      </c>
      <c r="T16" s="33">
        <f t="shared" si="0"/>
        <v>0.74</v>
      </c>
    </row>
    <row r="17" spans="1:20" x14ac:dyDescent="0.2">
      <c r="A17" s="1">
        <v>16</v>
      </c>
      <c r="B17" s="1" t="s">
        <v>56</v>
      </c>
      <c r="C17" s="2">
        <v>999.99</v>
      </c>
      <c r="D17" s="2">
        <v>999.99</v>
      </c>
      <c r="E17" s="2">
        <v>6.2280000000000002E-2</v>
      </c>
      <c r="F17" s="2">
        <v>5.0463260000000003E-2</v>
      </c>
      <c r="G17" s="2">
        <v>999.99</v>
      </c>
      <c r="H17" s="2">
        <v>999.99</v>
      </c>
      <c r="I17" s="15">
        <v>8</v>
      </c>
      <c r="J17" s="15">
        <v>0</v>
      </c>
      <c r="K17" s="58">
        <v>6.6127320000000003E-2</v>
      </c>
      <c r="L17" s="2">
        <v>999.99</v>
      </c>
      <c r="M17" s="2">
        <v>999.99</v>
      </c>
      <c r="N17" s="2">
        <v>0.7200067</v>
      </c>
      <c r="O17" s="2">
        <v>0.72889859999999995</v>
      </c>
      <c r="P17" s="2">
        <v>999.99</v>
      </c>
      <c r="Q17" s="2">
        <v>999.99</v>
      </c>
      <c r="R17" s="15">
        <v>8</v>
      </c>
      <c r="S17" s="77">
        <v>0.7200067</v>
      </c>
      <c r="T17" s="33">
        <f t="shared" si="0"/>
        <v>0.72</v>
      </c>
    </row>
    <row r="18" spans="1:20" x14ac:dyDescent="0.2">
      <c r="A18" s="1">
        <v>17</v>
      </c>
      <c r="B18" s="1" t="s">
        <v>56</v>
      </c>
      <c r="C18" s="2">
        <v>999.99</v>
      </c>
      <c r="D18" s="2">
        <v>999.99</v>
      </c>
      <c r="E18" s="2">
        <v>999.99</v>
      </c>
      <c r="F18" s="2">
        <v>999.99</v>
      </c>
      <c r="G18" s="2">
        <v>7.6962619999999995E-2</v>
      </c>
      <c r="H18" s="2">
        <v>6.1887419999999999E-2</v>
      </c>
      <c r="I18" s="15">
        <v>16</v>
      </c>
      <c r="J18" s="15">
        <v>0</v>
      </c>
      <c r="K18" s="58">
        <v>7.8964779999999998E-2</v>
      </c>
      <c r="L18" s="2">
        <v>999.99</v>
      </c>
      <c r="M18" s="2">
        <v>999.99</v>
      </c>
      <c r="N18" s="2">
        <v>999.99</v>
      </c>
      <c r="O18" s="2">
        <v>999.99</v>
      </c>
      <c r="P18" s="2">
        <v>0.70852369999999998</v>
      </c>
      <c r="Q18" s="2">
        <v>0.73431630000000003</v>
      </c>
      <c r="R18" s="15">
        <v>16</v>
      </c>
      <c r="S18" s="77">
        <v>0.70852369999999998</v>
      </c>
      <c r="T18" s="33">
        <f t="shared" si="0"/>
        <v>0.71</v>
      </c>
    </row>
    <row r="19" spans="1:20" x14ac:dyDescent="0.2">
      <c r="A19" s="1">
        <v>18</v>
      </c>
      <c r="B19" s="1" t="s">
        <v>56</v>
      </c>
      <c r="C19" s="2">
        <v>5.8609380000000003E-2</v>
      </c>
      <c r="D19" s="2">
        <v>999.99</v>
      </c>
      <c r="E19" s="2">
        <v>7.6177430000000004E-2</v>
      </c>
      <c r="F19" s="2">
        <v>999.99</v>
      </c>
      <c r="G19" s="2">
        <v>999.99</v>
      </c>
      <c r="H19" s="2">
        <v>999.99</v>
      </c>
      <c r="I19" s="15">
        <v>8</v>
      </c>
      <c r="J19" s="15">
        <v>0</v>
      </c>
      <c r="K19" s="58">
        <v>7.7433719999999998E-2</v>
      </c>
      <c r="L19" s="2">
        <v>0.74444500000000002</v>
      </c>
      <c r="M19" s="2">
        <v>999.99</v>
      </c>
      <c r="N19" s="2">
        <v>0.69586289999999995</v>
      </c>
      <c r="O19" s="2">
        <v>999.99</v>
      </c>
      <c r="P19" s="2">
        <v>999.99</v>
      </c>
      <c r="Q19" s="2">
        <v>999.99</v>
      </c>
      <c r="R19" s="15">
        <v>8</v>
      </c>
      <c r="S19" s="77">
        <v>0.69586289999999995</v>
      </c>
      <c r="T19" s="33">
        <f t="shared" si="0"/>
        <v>0.7</v>
      </c>
    </row>
    <row r="20" spans="1:20" x14ac:dyDescent="0.2">
      <c r="A20" s="1">
        <v>19</v>
      </c>
      <c r="B20" s="1" t="s">
        <v>56</v>
      </c>
      <c r="C20" s="2">
        <v>999.99</v>
      </c>
      <c r="D20" s="2">
        <v>999.99</v>
      </c>
      <c r="E20" s="2">
        <v>0.10412929999999999</v>
      </c>
      <c r="F20" s="2">
        <v>7.8454410000000002E-2</v>
      </c>
      <c r="G20" s="2">
        <v>6.848282E-2</v>
      </c>
      <c r="H20" s="2">
        <v>7.0386840000000006E-2</v>
      </c>
      <c r="I20" s="15">
        <v>8</v>
      </c>
      <c r="J20" s="15">
        <v>0</v>
      </c>
      <c r="K20" s="58">
        <v>0.10833</v>
      </c>
      <c r="L20" s="2">
        <v>999.99</v>
      </c>
      <c r="M20" s="2">
        <v>999.99</v>
      </c>
      <c r="N20" s="2">
        <v>0.65746819999999995</v>
      </c>
      <c r="O20" s="2">
        <v>0.66924570000000005</v>
      </c>
      <c r="P20" s="2">
        <v>0.79785589999999995</v>
      </c>
      <c r="Q20" s="2">
        <v>0.82600399999999996</v>
      </c>
      <c r="R20" s="15">
        <v>8</v>
      </c>
      <c r="S20" s="77">
        <v>0.65746819999999995</v>
      </c>
      <c r="T20" s="33">
        <f t="shared" si="0"/>
        <v>0.66</v>
      </c>
    </row>
    <row r="21" spans="1:20" x14ac:dyDescent="0.2">
      <c r="A21" s="1">
        <v>20</v>
      </c>
      <c r="B21" s="1" t="s">
        <v>56</v>
      </c>
      <c r="C21" s="2">
        <v>999.99</v>
      </c>
      <c r="D21" s="2">
        <v>999.99</v>
      </c>
      <c r="E21" s="2">
        <v>999.99</v>
      </c>
      <c r="F21" s="2">
        <v>7.3645299999999997E-2</v>
      </c>
      <c r="G21" s="2">
        <v>7.1093509999999999E-2</v>
      </c>
      <c r="H21" s="2">
        <v>999.99</v>
      </c>
      <c r="I21" s="15">
        <v>12</v>
      </c>
      <c r="J21" s="15">
        <v>0</v>
      </c>
      <c r="K21" s="58">
        <v>7.6962619999999995E-2</v>
      </c>
      <c r="L21" s="2">
        <v>999.99</v>
      </c>
      <c r="M21" s="2">
        <v>999.99</v>
      </c>
      <c r="N21" s="2">
        <v>999.99</v>
      </c>
      <c r="O21" s="2">
        <v>0.84337569999999995</v>
      </c>
      <c r="P21" s="2">
        <v>0.92199050000000005</v>
      </c>
      <c r="Q21" s="2">
        <v>999.99</v>
      </c>
      <c r="R21" s="15">
        <v>12</v>
      </c>
      <c r="S21" s="77">
        <v>0.84337569999999995</v>
      </c>
      <c r="T21" s="33">
        <f t="shared" si="0"/>
        <v>0.84</v>
      </c>
    </row>
    <row r="22" spans="1:20" x14ac:dyDescent="0.2">
      <c r="A22" s="1">
        <v>21</v>
      </c>
      <c r="B22" s="1" t="s">
        <v>56</v>
      </c>
      <c r="C22" s="2">
        <v>999.99</v>
      </c>
      <c r="D22" s="2">
        <v>999.99</v>
      </c>
      <c r="E22" s="2">
        <v>999.99</v>
      </c>
      <c r="F22" s="2">
        <v>8.163434E-2</v>
      </c>
      <c r="G22" s="2">
        <v>7.3154549999999999E-2</v>
      </c>
      <c r="H22" s="2">
        <v>999.99</v>
      </c>
      <c r="I22" s="15">
        <v>12</v>
      </c>
      <c r="J22" s="15">
        <v>0</v>
      </c>
      <c r="K22" s="58">
        <v>8.5089090000000006E-2</v>
      </c>
      <c r="L22" s="2">
        <v>999.99</v>
      </c>
      <c r="M22" s="2">
        <v>999.99</v>
      </c>
      <c r="N22" s="2">
        <v>999.99</v>
      </c>
      <c r="O22" s="2">
        <v>0.97434140000000002</v>
      </c>
      <c r="P22" s="2">
        <v>1.026221</v>
      </c>
      <c r="Q22" s="2">
        <v>999.99</v>
      </c>
      <c r="R22" s="15">
        <v>12</v>
      </c>
      <c r="S22" s="77">
        <v>0.97434140000000002</v>
      </c>
      <c r="T22" s="33">
        <f t="shared" si="0"/>
        <v>0.97</v>
      </c>
    </row>
    <row r="23" spans="1:20" x14ac:dyDescent="0.2">
      <c r="A23" s="1">
        <v>22</v>
      </c>
      <c r="B23" s="1" t="s">
        <v>56</v>
      </c>
      <c r="C23" s="2">
        <v>999.99</v>
      </c>
      <c r="D23" s="2">
        <v>999.99</v>
      </c>
      <c r="E23" s="2">
        <v>999.99</v>
      </c>
      <c r="F23" s="2">
        <v>0.1092133</v>
      </c>
      <c r="G23" s="2">
        <v>999.99</v>
      </c>
      <c r="H23" s="2">
        <v>999.99</v>
      </c>
      <c r="I23" s="15">
        <v>12</v>
      </c>
      <c r="J23" s="15">
        <v>0</v>
      </c>
      <c r="K23" s="58">
        <v>0.11121549999999999</v>
      </c>
      <c r="L23" s="2">
        <v>999.99</v>
      </c>
      <c r="M23" s="2">
        <v>999.99</v>
      </c>
      <c r="N23" s="2">
        <v>999.99</v>
      </c>
      <c r="O23" s="2">
        <v>1.0324629999999999</v>
      </c>
      <c r="P23" s="2">
        <v>999.99</v>
      </c>
      <c r="Q23" s="2">
        <v>999.99</v>
      </c>
      <c r="R23" s="15">
        <v>12</v>
      </c>
      <c r="S23" s="77">
        <v>1.0324629999999999</v>
      </c>
      <c r="T23" s="33">
        <f t="shared" si="0"/>
        <v>1.03</v>
      </c>
    </row>
    <row r="24" spans="1:20" x14ac:dyDescent="0.2">
      <c r="A24" s="1">
        <v>23</v>
      </c>
      <c r="B24" s="1" t="s">
        <v>56</v>
      </c>
      <c r="C24" s="2">
        <v>999.99</v>
      </c>
      <c r="D24" s="2">
        <v>999.99</v>
      </c>
      <c r="E24" s="2">
        <v>0.1164761</v>
      </c>
      <c r="F24" s="2">
        <v>8.0554749999999994E-2</v>
      </c>
      <c r="G24" s="2">
        <v>7.6452240000000005E-2</v>
      </c>
      <c r="H24" s="2">
        <v>999.99</v>
      </c>
      <c r="I24" s="15">
        <v>8</v>
      </c>
      <c r="J24" s="15">
        <v>0</v>
      </c>
      <c r="K24" s="58">
        <v>0.1165349</v>
      </c>
      <c r="L24" s="2">
        <v>999.99</v>
      </c>
      <c r="M24" s="2">
        <v>999.99</v>
      </c>
      <c r="N24" s="2">
        <v>1.0392349999999999</v>
      </c>
      <c r="O24" s="2">
        <v>1.083342</v>
      </c>
      <c r="P24" s="2">
        <v>1.0785130000000001</v>
      </c>
      <c r="Q24" s="2">
        <v>999.99</v>
      </c>
      <c r="R24" s="15">
        <v>8</v>
      </c>
      <c r="S24" s="77">
        <v>1.0392349999999999</v>
      </c>
      <c r="T24" s="33">
        <f t="shared" si="0"/>
        <v>1.04</v>
      </c>
    </row>
    <row r="25" spans="1:20" x14ac:dyDescent="0.2">
      <c r="A25" s="1">
        <v>24</v>
      </c>
      <c r="B25" s="1" t="s">
        <v>56</v>
      </c>
      <c r="C25" s="2">
        <v>999.99</v>
      </c>
      <c r="D25" s="2">
        <v>999.99</v>
      </c>
      <c r="E25" s="2">
        <v>9.4825140000000002E-2</v>
      </c>
      <c r="F25" s="2">
        <v>8.163434E-2</v>
      </c>
      <c r="G25" s="2">
        <v>7.9161079999999995E-2</v>
      </c>
      <c r="H25" s="2">
        <v>999.99</v>
      </c>
      <c r="I25" s="15">
        <v>8</v>
      </c>
      <c r="J25" s="15">
        <v>0</v>
      </c>
      <c r="K25" s="58">
        <v>9.4825140000000002E-2</v>
      </c>
      <c r="L25" s="2">
        <v>999.99</v>
      </c>
      <c r="M25" s="2">
        <v>999.99</v>
      </c>
      <c r="N25" s="2">
        <v>1.047126</v>
      </c>
      <c r="O25" s="2">
        <v>1.06385</v>
      </c>
      <c r="P25" s="2">
        <v>1.06968</v>
      </c>
      <c r="Q25" s="2">
        <v>999.99</v>
      </c>
      <c r="R25" s="15">
        <v>8</v>
      </c>
      <c r="S25" s="77">
        <v>1.047126</v>
      </c>
      <c r="T25" s="33">
        <f t="shared" si="0"/>
        <v>1.05</v>
      </c>
    </row>
    <row r="26" spans="1:20" x14ac:dyDescent="0.2">
      <c r="A26" s="1">
        <v>25</v>
      </c>
      <c r="B26" s="1" t="s">
        <v>56</v>
      </c>
      <c r="C26" s="2">
        <v>999.99</v>
      </c>
      <c r="D26" s="2">
        <v>999.99</v>
      </c>
      <c r="E26" s="2">
        <v>0.1136495</v>
      </c>
      <c r="F26" s="2">
        <v>8.3459839999999993E-2</v>
      </c>
      <c r="G26" s="2">
        <v>999.99</v>
      </c>
      <c r="H26" s="2">
        <v>999.99</v>
      </c>
      <c r="I26" s="15">
        <v>8</v>
      </c>
      <c r="J26" s="15">
        <v>0</v>
      </c>
      <c r="K26" s="58">
        <v>0.1138065</v>
      </c>
      <c r="L26" s="2">
        <v>999.99</v>
      </c>
      <c r="M26" s="2">
        <v>999.99</v>
      </c>
      <c r="N26" s="2">
        <v>1.0360549999999999</v>
      </c>
      <c r="O26" s="2">
        <v>1.04589</v>
      </c>
      <c r="P26" s="2">
        <v>999.99</v>
      </c>
      <c r="Q26" s="2">
        <v>999.99</v>
      </c>
      <c r="R26" s="15">
        <v>8</v>
      </c>
      <c r="S26" s="77">
        <v>1.0360549999999999</v>
      </c>
      <c r="T26" s="33">
        <f t="shared" si="0"/>
        <v>1.04</v>
      </c>
    </row>
    <row r="27" spans="1:20" x14ac:dyDescent="0.2">
      <c r="A27" s="1">
        <v>26</v>
      </c>
      <c r="B27" s="1" t="s">
        <v>56</v>
      </c>
      <c r="C27" s="2">
        <v>999.99</v>
      </c>
      <c r="D27" s="2">
        <v>999.99</v>
      </c>
      <c r="E27" s="2">
        <v>0.2858755</v>
      </c>
      <c r="F27" s="2">
        <v>0.10774110000000001</v>
      </c>
      <c r="G27" s="2">
        <v>9.8358370000000001E-2</v>
      </c>
      <c r="H27" s="2">
        <v>999.99</v>
      </c>
      <c r="I27" s="15">
        <v>8</v>
      </c>
      <c r="J27" s="15">
        <v>0</v>
      </c>
      <c r="K27" s="58">
        <v>0.2858755</v>
      </c>
      <c r="L27" s="2">
        <v>999.99</v>
      </c>
      <c r="M27" s="2">
        <v>999.99</v>
      </c>
      <c r="N27" s="2">
        <v>1.000016</v>
      </c>
      <c r="O27" s="2">
        <v>0.99359770000000003</v>
      </c>
      <c r="P27" s="2">
        <v>0.99336199999999997</v>
      </c>
      <c r="Q27" s="2">
        <v>999.99</v>
      </c>
      <c r="R27" s="15">
        <v>16</v>
      </c>
      <c r="S27" s="77">
        <v>0.99336199999999997</v>
      </c>
      <c r="T27" s="33">
        <f t="shared" si="0"/>
        <v>0.99</v>
      </c>
    </row>
    <row r="28" spans="1:20" x14ac:dyDescent="0.2">
      <c r="A28" s="1">
        <v>27</v>
      </c>
      <c r="B28" s="1" t="s">
        <v>56</v>
      </c>
      <c r="C28" s="2">
        <v>999.99</v>
      </c>
      <c r="D28" s="2">
        <v>999.99</v>
      </c>
      <c r="E28" s="2">
        <v>0.14578240000000001</v>
      </c>
      <c r="F28" s="2">
        <v>0.1039331</v>
      </c>
      <c r="G28" s="2">
        <v>999.99</v>
      </c>
      <c r="H28" s="2">
        <v>999.99</v>
      </c>
      <c r="I28" s="15">
        <v>8</v>
      </c>
      <c r="J28" s="15">
        <v>0</v>
      </c>
      <c r="K28" s="58">
        <v>0.14578240000000001</v>
      </c>
      <c r="L28" s="2">
        <v>999.99</v>
      </c>
      <c r="M28" s="2">
        <v>999.99</v>
      </c>
      <c r="N28" s="2">
        <v>0.96927700000000006</v>
      </c>
      <c r="O28" s="2">
        <v>0.97928800000000005</v>
      </c>
      <c r="P28" s="2">
        <v>999.99</v>
      </c>
      <c r="Q28" s="2">
        <v>999.99</v>
      </c>
      <c r="R28" s="15">
        <v>8</v>
      </c>
      <c r="S28" s="77">
        <v>0.96927700000000006</v>
      </c>
      <c r="T28" s="33">
        <f t="shared" si="0"/>
        <v>0.97</v>
      </c>
    </row>
    <row r="29" spans="1:20" x14ac:dyDescent="0.2">
      <c r="A29" s="1">
        <v>28</v>
      </c>
      <c r="B29" s="1" t="s">
        <v>56</v>
      </c>
      <c r="C29" s="2">
        <v>999.99</v>
      </c>
      <c r="D29" s="2">
        <v>999.99</v>
      </c>
      <c r="E29" s="2">
        <v>0.15088589999999999</v>
      </c>
      <c r="F29" s="2">
        <v>0.1190867</v>
      </c>
      <c r="G29" s="2">
        <v>999.99</v>
      </c>
      <c r="H29" s="2">
        <v>999.99</v>
      </c>
      <c r="I29" s="15">
        <v>8</v>
      </c>
      <c r="J29" s="15">
        <v>0</v>
      </c>
      <c r="K29" s="58">
        <v>0.155224</v>
      </c>
      <c r="L29" s="2">
        <v>999.99</v>
      </c>
      <c r="M29" s="2">
        <v>999.99</v>
      </c>
      <c r="N29" s="2">
        <v>0.95744070000000003</v>
      </c>
      <c r="O29" s="2">
        <v>0.97169150000000004</v>
      </c>
      <c r="P29" s="2">
        <v>999.99</v>
      </c>
      <c r="Q29" s="2">
        <v>999.99</v>
      </c>
      <c r="R29" s="15">
        <v>8</v>
      </c>
      <c r="S29" s="77">
        <v>0.95744070000000003</v>
      </c>
      <c r="T29" s="33">
        <f t="shared" si="0"/>
        <v>0.96</v>
      </c>
    </row>
    <row r="30" spans="1:20" x14ac:dyDescent="0.2">
      <c r="A30" s="1">
        <v>29</v>
      </c>
      <c r="B30" s="1" t="s">
        <v>56</v>
      </c>
      <c r="C30" s="2">
        <v>999.99</v>
      </c>
      <c r="D30" s="2">
        <v>999.99</v>
      </c>
      <c r="E30" s="2">
        <v>0.13781289999999999</v>
      </c>
      <c r="F30" s="2">
        <v>0.1261729</v>
      </c>
      <c r="G30" s="2">
        <v>0.13145309999999999</v>
      </c>
      <c r="H30" s="2">
        <v>999.99</v>
      </c>
      <c r="I30" s="15">
        <v>8</v>
      </c>
      <c r="J30" s="15">
        <v>0</v>
      </c>
      <c r="K30" s="58">
        <v>0.1415228</v>
      </c>
      <c r="L30" s="2">
        <v>999.99</v>
      </c>
      <c r="M30" s="2">
        <v>999.99</v>
      </c>
      <c r="N30" s="2">
        <v>0.94201230000000002</v>
      </c>
      <c r="O30" s="2">
        <v>0.94636980000000004</v>
      </c>
      <c r="P30" s="2">
        <v>0.93388570000000004</v>
      </c>
      <c r="Q30" s="2">
        <v>999.99</v>
      </c>
      <c r="R30" s="15">
        <v>16</v>
      </c>
      <c r="S30" s="77">
        <v>0.93388570000000004</v>
      </c>
      <c r="T30" s="33">
        <f t="shared" si="0"/>
        <v>0.93</v>
      </c>
    </row>
    <row r="31" spans="1:20" x14ac:dyDescent="0.2">
      <c r="A31" s="1">
        <v>30</v>
      </c>
      <c r="B31" s="1" t="s">
        <v>56</v>
      </c>
      <c r="C31" s="2">
        <v>999.99</v>
      </c>
      <c r="D31" s="2">
        <v>999.99</v>
      </c>
      <c r="E31" s="2">
        <v>0.18032970000000001</v>
      </c>
      <c r="F31" s="2">
        <v>0.15021860000000001</v>
      </c>
      <c r="G31" s="2">
        <v>0.14725460000000001</v>
      </c>
      <c r="H31" s="2">
        <v>999.99</v>
      </c>
      <c r="I31" s="15">
        <v>8</v>
      </c>
      <c r="J31" s="15">
        <v>0</v>
      </c>
      <c r="K31" s="58">
        <v>0.18034929999999999</v>
      </c>
      <c r="L31" s="2">
        <v>999.99</v>
      </c>
      <c r="M31" s="2">
        <v>999.99</v>
      </c>
      <c r="N31" s="2">
        <v>0.89708109999999996</v>
      </c>
      <c r="O31" s="2">
        <v>0.91786840000000003</v>
      </c>
      <c r="P31" s="2">
        <v>0.91186199999999995</v>
      </c>
      <c r="Q31" s="2">
        <v>999.99</v>
      </c>
      <c r="R31" s="15">
        <v>8</v>
      </c>
      <c r="S31" s="77">
        <v>0.89708109999999996</v>
      </c>
      <c r="T31" s="33">
        <f t="shared" si="0"/>
        <v>0.9</v>
      </c>
    </row>
    <row r="32" spans="1:20" x14ac:dyDescent="0.2">
      <c r="A32" s="1">
        <v>31</v>
      </c>
      <c r="B32" s="1" t="s">
        <v>56</v>
      </c>
      <c r="C32" s="2">
        <v>999.99</v>
      </c>
      <c r="D32" s="2">
        <v>999.99</v>
      </c>
      <c r="E32" s="2">
        <v>999.99</v>
      </c>
      <c r="F32" s="2">
        <v>0.1772282</v>
      </c>
      <c r="G32" s="2">
        <v>0.16197639999999999</v>
      </c>
      <c r="H32" s="2">
        <v>999.99</v>
      </c>
      <c r="I32" s="15">
        <v>12</v>
      </c>
      <c r="J32" s="15">
        <v>0</v>
      </c>
      <c r="K32" s="58">
        <v>0.1793286</v>
      </c>
      <c r="L32" s="2">
        <v>999.99</v>
      </c>
      <c r="M32" s="2">
        <v>999.99</v>
      </c>
      <c r="N32" s="2">
        <v>999.99</v>
      </c>
      <c r="O32" s="2">
        <v>0.89284129999999995</v>
      </c>
      <c r="P32" s="2">
        <v>0.89525560000000004</v>
      </c>
      <c r="Q32" s="2">
        <v>999.99</v>
      </c>
      <c r="R32" s="15">
        <v>12</v>
      </c>
      <c r="S32" s="77">
        <v>0.89284129999999995</v>
      </c>
      <c r="T32" s="33">
        <f t="shared" si="0"/>
        <v>0.89</v>
      </c>
    </row>
    <row r="33" spans="1:20" x14ac:dyDescent="0.2">
      <c r="A33" s="1"/>
      <c r="B33" s="1"/>
      <c r="C33" s="2"/>
      <c r="D33" s="2"/>
      <c r="E33" s="2"/>
      <c r="F33" s="2"/>
      <c r="G33" s="2"/>
      <c r="H33" s="2"/>
      <c r="I33" s="15"/>
      <c r="J33" s="15"/>
      <c r="K33" s="58"/>
      <c r="L33" s="2"/>
      <c r="M33" s="2"/>
      <c r="N33" s="2"/>
      <c r="O33" s="2"/>
      <c r="P33" s="2"/>
      <c r="Q33" s="2"/>
      <c r="R33" s="15"/>
      <c r="S33" s="77"/>
      <c r="T33" s="33" t="str">
        <f t="shared" si="0"/>
        <v/>
      </c>
    </row>
    <row r="34" spans="1:20" x14ac:dyDescent="0.2">
      <c r="A34" s="1"/>
      <c r="B34" s="1"/>
      <c r="C34" s="2"/>
      <c r="D34" s="2"/>
      <c r="E34" s="2"/>
      <c r="F34" s="2"/>
      <c r="G34" s="2"/>
      <c r="H34" s="2"/>
      <c r="I34" s="15"/>
      <c r="J34" s="15"/>
      <c r="K34" s="58"/>
      <c r="L34" s="2"/>
      <c r="M34" s="2"/>
      <c r="N34" s="2"/>
      <c r="O34" s="2"/>
      <c r="P34" s="2"/>
      <c r="Q34" s="2"/>
      <c r="R34" s="15"/>
      <c r="S34" s="77"/>
      <c r="T34" s="33" t="str">
        <f t="shared" si="0"/>
        <v/>
      </c>
    </row>
    <row r="35" spans="1:20" x14ac:dyDescent="0.2">
      <c r="A35" s="1"/>
      <c r="B35" s="1"/>
      <c r="C35" s="2"/>
      <c r="D35" s="2"/>
      <c r="E35" s="2"/>
      <c r="F35" s="2"/>
      <c r="G35" s="2"/>
      <c r="H35" s="2"/>
      <c r="I35" s="15"/>
      <c r="J35" s="15"/>
      <c r="K35" s="58"/>
      <c r="L35" s="2"/>
      <c r="M35" s="2"/>
      <c r="N35" s="2"/>
      <c r="O35" s="2"/>
      <c r="P35" s="2"/>
      <c r="Q35" s="2"/>
      <c r="R35" s="15"/>
      <c r="S35" s="77"/>
      <c r="T35" s="33" t="str">
        <f t="shared" si="0"/>
        <v/>
      </c>
    </row>
    <row r="36" spans="1:20" x14ac:dyDescent="0.2">
      <c r="A36" s="1"/>
      <c r="B36" s="1"/>
      <c r="C36" s="2"/>
      <c r="D36" s="2"/>
      <c r="E36" s="2"/>
      <c r="F36" s="2"/>
      <c r="G36" s="2"/>
      <c r="H36" s="2"/>
      <c r="I36" s="15"/>
      <c r="J36" s="15"/>
      <c r="K36" s="58"/>
      <c r="L36" s="2"/>
      <c r="M36" s="2"/>
      <c r="N36" s="2"/>
      <c r="O36" s="2"/>
      <c r="P36" s="2"/>
      <c r="Q36" s="2"/>
      <c r="R36" s="15"/>
      <c r="S36" s="77"/>
      <c r="T36" s="33" t="str">
        <f t="shared" si="0"/>
        <v/>
      </c>
    </row>
    <row r="37" spans="1:20" x14ac:dyDescent="0.2">
      <c r="A37" s="1"/>
      <c r="B37" s="1"/>
      <c r="C37" s="2"/>
      <c r="D37" s="2"/>
      <c r="E37" s="2"/>
      <c r="F37" s="2"/>
      <c r="G37" s="2"/>
      <c r="H37" s="2"/>
      <c r="I37" s="15"/>
      <c r="J37" s="15"/>
      <c r="K37" s="58"/>
      <c r="L37" s="2"/>
      <c r="M37" s="2"/>
      <c r="N37" s="2"/>
      <c r="O37" s="2"/>
      <c r="P37" s="2"/>
      <c r="Q37" s="2"/>
      <c r="R37" s="15"/>
      <c r="S37" s="77"/>
      <c r="T37" s="33" t="str">
        <f t="shared" si="0"/>
        <v/>
      </c>
    </row>
    <row r="38" spans="1:20" x14ac:dyDescent="0.2">
      <c r="A38" s="1"/>
      <c r="B38" s="1"/>
      <c r="C38" s="2"/>
      <c r="D38" s="2"/>
      <c r="E38" s="2"/>
      <c r="F38" s="2"/>
      <c r="G38" s="2"/>
      <c r="H38" s="2"/>
      <c r="I38" s="15"/>
      <c r="J38" s="15"/>
      <c r="K38" s="58"/>
      <c r="L38" s="2"/>
      <c r="M38" s="2"/>
      <c r="N38" s="2"/>
      <c r="O38" s="2"/>
      <c r="P38" s="2"/>
      <c r="Q38" s="2"/>
      <c r="R38" s="15"/>
      <c r="S38" s="77"/>
      <c r="T38" s="33" t="str">
        <f t="shared" si="0"/>
        <v/>
      </c>
    </row>
    <row r="39" spans="1:20" x14ac:dyDescent="0.2">
      <c r="A39" s="1"/>
      <c r="B39" s="1"/>
      <c r="C39" s="2"/>
      <c r="D39" s="2"/>
      <c r="E39" s="2"/>
      <c r="F39" s="2"/>
      <c r="G39" s="2"/>
      <c r="H39" s="2"/>
      <c r="I39" s="15"/>
      <c r="J39" s="15"/>
      <c r="K39" s="58"/>
      <c r="L39" s="2"/>
      <c r="M39" s="2"/>
      <c r="N39" s="2"/>
      <c r="O39" s="2"/>
      <c r="P39" s="2"/>
      <c r="Q39" s="2"/>
      <c r="R39" s="15"/>
      <c r="S39" s="77"/>
      <c r="T39" s="33" t="str">
        <f t="shared" si="0"/>
        <v/>
      </c>
    </row>
    <row r="40" spans="1:20" x14ac:dyDescent="0.2">
      <c r="A40" s="1"/>
      <c r="B40" s="1"/>
      <c r="C40" s="2"/>
      <c r="D40" s="2"/>
      <c r="E40" s="2"/>
      <c r="F40" s="2"/>
      <c r="G40" s="2"/>
      <c r="H40" s="2"/>
      <c r="I40" s="15"/>
      <c r="J40" s="15"/>
      <c r="K40" s="58"/>
      <c r="L40" s="2"/>
      <c r="M40" s="2"/>
      <c r="N40" s="2"/>
      <c r="O40" s="2"/>
      <c r="P40" s="2"/>
      <c r="Q40" s="2"/>
      <c r="R40" s="15"/>
      <c r="S40" s="77"/>
      <c r="T40" s="33" t="str">
        <f t="shared" si="0"/>
        <v/>
      </c>
    </row>
    <row r="41" spans="1:2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2"/>
      <c r="S41" s="77"/>
      <c r="T41" s="33" t="str">
        <f t="shared" si="0"/>
        <v/>
      </c>
    </row>
    <row r="42" spans="1:2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2"/>
      <c r="S42" s="77"/>
      <c r="T42" s="33" t="str">
        <f t="shared" si="0"/>
        <v/>
      </c>
    </row>
    <row r="43" spans="1:2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2"/>
      <c r="S43" s="77"/>
      <c r="T43" s="33" t="str">
        <f t="shared" si="0"/>
        <v/>
      </c>
    </row>
    <row r="44" spans="1:2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2"/>
      <c r="S44" s="77"/>
      <c r="T44" s="33" t="str">
        <f t="shared" si="0"/>
        <v/>
      </c>
    </row>
    <row r="45" spans="1:2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2"/>
      <c r="S45" s="77"/>
      <c r="T45" s="33" t="str">
        <f t="shared" si="0"/>
        <v/>
      </c>
    </row>
    <row r="217" spans="1:2" x14ac:dyDescent="0.2">
      <c r="A217" s="20"/>
      <c r="B217" s="20"/>
    </row>
    <row r="241" spans="1:2" x14ac:dyDescent="0.2">
      <c r="A241" s="5"/>
      <c r="B241" s="5"/>
    </row>
    <row r="385" spans="1:2" x14ac:dyDescent="0.2">
      <c r="A385" s="5"/>
      <c r="B385" s="5"/>
    </row>
    <row r="457" spans="1:2" x14ac:dyDescent="0.2">
      <c r="A457" s="5"/>
      <c r="B457" s="5"/>
    </row>
  </sheetData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DATA_1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Conventional or Direct Filtration</dc:title>
  <dc:creator>Toledo_Water</dc:creator>
  <cp:lastModifiedBy>Toledo Water</cp:lastModifiedBy>
  <cp:lastPrinted>2014-05-02T21:30:11Z</cp:lastPrinted>
  <dcterms:created xsi:type="dcterms:W3CDTF">2008-11-12T20:47:25Z</dcterms:created>
  <dcterms:modified xsi:type="dcterms:W3CDTF">2026-01-05T14:41:01Z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2020-10-31T00:00:00Z</vt:lpwstr>
  </property>
</Properties>
</file>