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28680" yWindow="-120" windowWidth="29040" windowHeight="16440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G80" i="1"/>
  <c r="D80" i="1"/>
  <c r="H80" i="1" s="1"/>
  <c r="G79" i="1"/>
  <c r="D79" i="1"/>
  <c r="H79" i="1" s="1"/>
  <c r="G76" i="1"/>
  <c r="D76" i="1"/>
  <c r="H76" i="1" s="1"/>
  <c r="G74" i="1"/>
  <c r="D74" i="1"/>
  <c r="H74" i="1" s="1"/>
  <c r="G73" i="1"/>
  <c r="D73" i="1"/>
  <c r="H73" i="1" s="1"/>
  <c r="G66" i="1"/>
  <c r="D66" i="1"/>
  <c r="H66" i="1" s="1"/>
  <c r="G65" i="1"/>
  <c r="D65" i="1"/>
  <c r="H65" i="1" s="1"/>
  <c r="G59" i="1"/>
  <c r="D59" i="1"/>
  <c r="H59" i="1" s="1"/>
  <c r="H58" i="1"/>
  <c r="G58" i="1"/>
  <c r="D58" i="1"/>
  <c r="G56" i="1"/>
  <c r="D56" i="1"/>
  <c r="H56" i="1" s="1"/>
  <c r="G51" i="1"/>
  <c r="D51" i="1"/>
  <c r="H51" i="1" s="1"/>
  <c r="D19" i="1"/>
  <c r="D31" i="1"/>
  <c r="B6" i="1"/>
  <c r="B16" i="1"/>
  <c r="B21" i="1"/>
  <c r="B68" i="1"/>
  <c r="F12" i="1"/>
  <c r="B25" i="1"/>
  <c r="F5" i="1"/>
  <c r="A64" i="1"/>
  <c r="B13" i="1"/>
  <c r="A57" i="1"/>
  <c r="B67" i="1"/>
  <c r="E23" i="1"/>
  <c r="A63" i="1"/>
  <c r="A60" i="1"/>
  <c r="A68" i="1"/>
  <c r="A81" i="1"/>
  <c r="B35" i="1"/>
  <c r="B28" i="1"/>
  <c r="G16" i="1"/>
  <c r="F30" i="1"/>
  <c r="G18" i="1"/>
  <c r="E25" i="1"/>
  <c r="A76" i="1"/>
  <c r="B29" i="1"/>
  <c r="A59" i="1"/>
  <c r="D8" i="1"/>
  <c r="B9" i="1"/>
  <c r="B55" i="1"/>
  <c r="A74" i="1"/>
  <c r="G20" i="1"/>
  <c r="B7" i="1"/>
  <c r="A78" i="1"/>
  <c r="G31" i="1"/>
  <c r="C11" i="1"/>
  <c r="B62" i="1"/>
  <c r="G7" i="1"/>
  <c r="B30" i="1"/>
  <c r="G6" i="1"/>
  <c r="F33" i="1"/>
  <c r="B22" i="1"/>
  <c r="G28" i="1"/>
  <c r="C20" i="1"/>
  <c r="A75" i="1"/>
  <c r="C31" i="1"/>
  <c r="B18" i="1"/>
  <c r="A61" i="1"/>
  <c r="B10" i="1"/>
  <c r="C18" i="1"/>
  <c r="B61" i="1"/>
  <c r="A56" i="1"/>
  <c r="G13" i="1"/>
  <c r="C28" i="1"/>
  <c r="B52" i="1"/>
  <c r="A77" i="1"/>
  <c r="G23" i="1"/>
  <c r="C29" i="1"/>
  <c r="C26" i="1"/>
  <c r="G19" i="1"/>
  <c r="D28" i="1"/>
  <c r="D13" i="1"/>
  <c r="E26" i="1"/>
  <c r="G24" i="1"/>
  <c r="C9" i="1"/>
  <c r="B14" i="1"/>
  <c r="C14" i="1"/>
  <c r="G11" i="1"/>
  <c r="C10" i="1"/>
  <c r="A70" i="1"/>
  <c r="B54" i="1"/>
  <c r="E17" i="1"/>
  <c r="A51" i="1"/>
  <c r="A55" i="1"/>
  <c r="C35" i="1"/>
  <c r="B27" i="1"/>
  <c r="G26" i="1"/>
  <c r="C12" i="1"/>
  <c r="A65" i="1"/>
  <c r="C27" i="1"/>
  <c r="C13" i="1"/>
  <c r="B70" i="1"/>
  <c r="G22" i="1"/>
  <c r="G29" i="1"/>
  <c r="C23" i="1"/>
  <c r="F31" i="1"/>
  <c r="F13" i="1"/>
  <c r="A52" i="1"/>
  <c r="D24" i="1"/>
  <c r="F9" i="1"/>
  <c r="G8" i="1"/>
  <c r="B78" i="1"/>
  <c r="C22" i="1"/>
  <c r="B5" i="1"/>
  <c r="B77" i="1"/>
  <c r="A67" i="1"/>
  <c r="G33" i="1"/>
  <c r="B12" i="1"/>
  <c r="B19" i="1"/>
  <c r="B26" i="1"/>
  <c r="C7" i="1"/>
  <c r="B72" i="1"/>
  <c r="B23" i="1"/>
  <c r="B17" i="1"/>
  <c r="B75" i="1"/>
  <c r="B11" i="1"/>
  <c r="G14" i="1"/>
  <c r="B57" i="1"/>
  <c r="C34" i="1"/>
  <c r="C6" i="1"/>
  <c r="B69" i="1"/>
  <c r="G21" i="1"/>
  <c r="E21" i="1"/>
  <c r="F29" i="1"/>
  <c r="A62" i="1"/>
  <c r="B8" i="1"/>
  <c r="B63" i="1"/>
  <c r="E24" i="1"/>
  <c r="F24" i="1"/>
  <c r="B64" i="1"/>
  <c r="C21" i="1"/>
  <c r="A72" i="1"/>
  <c r="B15" i="1"/>
  <c r="G12" i="1"/>
  <c r="F17" i="1"/>
  <c r="C8" i="1"/>
  <c r="G30" i="1"/>
  <c r="B20" i="1"/>
  <c r="C15" i="1"/>
  <c r="B71" i="1"/>
  <c r="E6" i="1"/>
  <c r="G10" i="1"/>
  <c r="E33" i="1"/>
  <c r="C19" i="1"/>
  <c r="F28" i="1"/>
  <c r="A66" i="1"/>
  <c r="C17" i="1"/>
  <c r="C5" i="1"/>
  <c r="C24" i="1"/>
  <c r="C33" i="1"/>
  <c r="F11" i="1"/>
  <c r="A69" i="1"/>
  <c r="F25" i="1"/>
  <c r="C25" i="1"/>
  <c r="B33" i="1"/>
  <c r="A73" i="1"/>
  <c r="A79" i="1"/>
  <c r="B60" i="1"/>
  <c r="G27" i="1"/>
  <c r="A54" i="1"/>
  <c r="G35" i="1"/>
  <c r="A71" i="1"/>
  <c r="C16" i="1"/>
  <c r="G15" i="1"/>
  <c r="F23" i="1"/>
  <c r="E27" i="1"/>
  <c r="A58" i="1"/>
  <c r="G9" i="1"/>
  <c r="E30" i="1"/>
  <c r="G5" i="1"/>
  <c r="D34" i="1"/>
  <c r="C30" i="1"/>
  <c r="B53" i="1"/>
  <c r="D69" i="1" l="1"/>
  <c r="G69" i="1"/>
  <c r="G78" i="1"/>
  <c r="D78" i="1"/>
  <c r="G57" i="1"/>
  <c r="D57" i="1"/>
  <c r="G53" i="1"/>
  <c r="D53" i="1"/>
  <c r="D70" i="1"/>
  <c r="G70" i="1"/>
  <c r="D55" i="1"/>
  <c r="G55" i="1"/>
  <c r="G64" i="1"/>
  <c r="D64" i="1"/>
  <c r="G61" i="1"/>
  <c r="D61" i="1"/>
  <c r="D62" i="1"/>
  <c r="G62" i="1"/>
  <c r="G75" i="1"/>
  <c r="D75" i="1"/>
  <c r="G68" i="1"/>
  <c r="D68" i="1"/>
  <c r="G52" i="1"/>
  <c r="D52" i="1"/>
  <c r="G54" i="1"/>
  <c r="D54" i="1"/>
  <c r="G67" i="1"/>
  <c r="D67" i="1"/>
  <c r="G71" i="1"/>
  <c r="D71" i="1"/>
  <c r="D63" i="1"/>
  <c r="G63" i="1"/>
  <c r="D81" i="1"/>
  <c r="G81" i="1"/>
  <c r="G72" i="1"/>
  <c r="D72" i="1"/>
  <c r="G77" i="1"/>
  <c r="D77" i="1"/>
  <c r="G60" i="1"/>
  <c r="D60" i="1"/>
  <c r="H75" i="1" l="1"/>
  <c r="H71" i="1"/>
  <c r="H72" i="1"/>
  <c r="H60" i="1"/>
  <c r="H62" i="1"/>
  <c r="H61" i="1"/>
  <c r="H64" i="1"/>
  <c r="H54" i="1"/>
  <c r="H53" i="1"/>
  <c r="H78" i="1"/>
  <c r="H63" i="1"/>
  <c r="H57" i="1"/>
  <c r="H55" i="1"/>
  <c r="H67" i="1"/>
  <c r="H52" i="1"/>
  <c r="H68" i="1"/>
  <c r="H77" i="1"/>
  <c r="H81" i="1"/>
  <c r="H70" i="1"/>
  <c r="H69" i="1"/>
</calcChain>
</file>

<file path=xl/comments1.xml><?xml version="1.0" encoding="utf-8"?>
<comments xmlns="http://schemas.openxmlformats.org/spreadsheetml/2006/main">
  <authors>
    <author>Toledo_Water</author>
  </authors>
  <commentList>
    <comment ref="K1" authorId="0" shapeId="0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<sst xmlns="http://schemas.openxmlformats.org/spreadsheetml/2006/main" count="126" uniqueCount="83">
  <si>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</si>
  <si>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</si>
  <si>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</si>
  <si>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</si>
  <si>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</si>
  <si>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</si>
  <si>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</si>
  <si>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</si>
  <si>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</si>
  <si>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</si>
  <si>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</si>
  <si>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</si>
  <si>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</si>
  <si>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OFF</t>
  </si>
  <si>
    <t>Day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</si>
  <si>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</si>
  <si>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</si>
  <si>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</si>
  <si>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</si>
  <si>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</si>
  <si>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</si>
  <si>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</si>
  <si>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t>3 / 8:00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</si>
  <si>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</si>
  <si>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</si>
  <si>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</si>
  <si>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</si>
  <si>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</si>
  <si>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</si>
  <si>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</si>
  <si>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</si>
  <si>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</si>
  <si>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Jan</t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</si>
  <si>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</si>
  <si>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</si>
  <si>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</si>
  <si>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</si>
  <si>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</si>
  <si>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</si>
  <si>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</si>
  <si>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</si>
  <si>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</si>
  <si>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Jan_26</t>
  </si>
  <si>
    <t>30 / 8:00</t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</si>
  <si>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</si>
  <si>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</si>
  <si>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</si>
  <si>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</si>
  <si>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</si>
  <si>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</si>
  <si>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</si>
  <si>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</si>
  <si>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</si>
  <si>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</si>
  <si>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</si>
  <si>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</si>
  <si>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</si>
  <si>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</si>
  <si>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</si>
  <si>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</si>
  <si>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</si>
  <si>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formula</t>
  </si>
  <si>
    <t>[ppm or mg/L]</t>
  </si>
  <si>
    <t>DAY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</si>
  <si>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</si>
  <si>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</si>
  <si>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</si>
  <si>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</si>
  <si>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</si>
  <si>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</si>
  <si>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</si>
  <si>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</si>
  <si>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</si>
  <si>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</si>
  <si>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</si>
  <si>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</si>
  <si>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>A</t>
  </si>
  <si>
    <t xml:space="preserve">Yes </t>
  </si>
  <si>
    <t>PRINTED NAME: Zachary J Dues</t>
  </si>
  <si>
    <t>SIGNATURE: Zachary J Dues</t>
  </si>
  <si>
    <t>PHONE #: (541)336-2610</t>
  </si>
  <si>
    <t>DATE:02/02/2026</t>
  </si>
  <si>
    <t>CERT #: 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</si>
</sst>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0615558336130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06155583361309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Font="1" applyBorder="1"/>
    <xf numFmtId="0" fontId="4" fillId="0" borderId="4" xfId="0" applyFont="1" applyBorder="1" applyAlignment="1" applyProtection="1">
      <alignment horizontal="center"/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49" fontId="0" fillId="3" borderId="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1" fontId="0" fillId="0" borderId="0" xfId="0" applyNumberFormat="1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0" borderId="13" xfId="0" applyNumberFormat="1" applyFont="1" applyBorder="1" applyAlignment="1" applyProtection="1">
      <alignment horizontal="center"/>
      <protection locked="0"/>
    </xf>
    <xf numFmtId="49" fontId="7" fillId="4" borderId="0" xfId="0" applyNumberFormat="1" applyFont="1" applyFill="1" applyBorder="1" applyAlignment="1">
      <alignment horizontal="center" vertical="top" wrapText="1"/>
    </xf>
    <xf numFmtId="2" fontId="4" fillId="0" borderId="15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Border="1"/>
    <xf numFmtId="0" fontId="4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166" fontId="8" fillId="0" borderId="0" xfId="0" applyNumberFormat="1" applyFont="1" applyBorder="1" applyAlignment="1">
      <alignment horizontal="center"/>
    </xf>
    <xf numFmtId="0" fontId="5" fillId="0" borderId="2" xfId="0" applyFont="1" applyBorder="1" applyAlignment="1" applyProtection="1">
      <alignment horizontal="right" vertical="center"/>
      <protection locked="0"/>
    </xf>
    <xf numFmtId="1" fontId="0" fillId="0" borderId="0" xfId="0" applyNumberFormat="1" applyBorder="1" applyAlignment="1">
      <alignment horizontal="center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49" fontId="10" fillId="5" borderId="0" xfId="0" applyNumberFormat="1" applyFont="1" applyFill="1" applyBorder="1" applyAlignment="1">
      <alignment horizontal="center" vertical="top" wrapText="1"/>
    </xf>
    <xf numFmtId="167" fontId="8" fillId="0" borderId="0" xfId="0" applyNumberFormat="1" applyFont="1" applyBorder="1" applyAlignment="1">
      <alignment horizont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>
      <alignment horizontal="center"/>
    </xf>
    <xf numFmtId="49" fontId="7" fillId="6" borderId="0" xfId="0" applyNumberFormat="1" applyFont="1" applyFill="1" applyBorder="1" applyAlignment="1">
      <alignment horizontal="center" vertical="top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164" fontId="4" fillId="0" borderId="39" xfId="0" applyNumberFormat="1" applyFont="1" applyBorder="1" applyAlignment="1" applyProtection="1">
      <alignment horizontal="center"/>
      <protection locked="0"/>
    </xf>
    <xf numFmtId="2" fontId="4" fillId="0" borderId="28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wrapText="1"/>
      <protection locked="0"/>
    </xf>
    <xf numFmtId="49" fontId="10" fillId="7" borderId="0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 vertical="center" wrapText="1"/>
      <protection locked="0"/>
    </xf>
    <xf numFmtId="164" fontId="4" fillId="0" borderId="41" xfId="0" applyNumberFormat="1" applyFont="1" applyBorder="1" applyAlignment="1" applyProtection="1">
      <alignment horizontal="center"/>
    </xf>
    <xf numFmtId="2" fontId="4" fillId="0" borderId="39" xfId="0" applyNumberFormat="1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</xf>
    <xf numFmtId="0" fontId="5" fillId="0" borderId="7" xfId="0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2" fontId="4" fillId="0" borderId="44" xfId="0" applyNumberFormat="1" applyFont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>
      <alignment horizontal="center" vertical="top" wrapText="1"/>
    </xf>
    <xf numFmtId="2" fontId="4" fillId="0" borderId="49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8" fillId="6" borderId="0" xfId="0" applyNumberFormat="1" applyFont="1" applyFill="1" applyBorder="1" applyAlignment="1">
      <alignment horizontal="center" vertical="top" wrapText="1"/>
    </xf>
    <xf numFmtId="17" fontId="8" fillId="0" borderId="5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5" fillId="0" borderId="35" xfId="0" applyFont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4" fontId="4" fillId="0" borderId="57" xfId="0" applyNumberFormat="1" applyFont="1" applyBorder="1" applyAlignment="1" applyProtection="1">
      <alignment horizontal="center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0" fontId="6" fillId="0" borderId="60" xfId="0" applyNumberFormat="1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2" fontId="4" fillId="0" borderId="42" xfId="0" applyNumberFormat="1" applyFont="1" applyBorder="1" applyAlignment="1" applyProtection="1">
      <alignment horizontal="center"/>
      <protection locked="0"/>
    </xf>
    <xf numFmtId="2" fontId="4" fillId="0" borderId="61" xfId="0" applyNumberFormat="1" applyFont="1" applyBorder="1" applyAlignment="1" applyProtection="1">
      <alignment horizontal="center"/>
      <protection locked="0"/>
    </xf>
    <xf numFmtId="2" fontId="4" fillId="0" borderId="45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34" xfId="0" applyNumberFormat="1" applyFont="1" applyBorder="1" applyAlignment="1" applyProtection="1">
      <alignment horizontal="center"/>
      <protection locked="0"/>
    </xf>
    <xf numFmtId="2" fontId="4" fillId="0" borderId="43" xfId="0" applyNumberFormat="1" applyFont="1" applyBorder="1" applyAlignment="1" applyProtection="1">
      <alignment horizontal="center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56" xfId="0" applyFont="1" applyBorder="1" applyAlignment="1" applyProtection="1">
      <alignment horizont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53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31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47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protection locked="0"/>
    </xf>
    <xf numFmtId="0" fontId="4" fillId="0" borderId="23" xfId="0" applyFont="1" applyBorder="1" applyAlignment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view="pageBreakPreview" zoomScale="75" workbookViewId="0">
      <selection activeCell="B5" sqref="B5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85" customFormat="1" ht="20.100000000000001" customHeight="1" x14ac:dyDescent="0.2">
      <c r="A1" s="94" t="s">
        <v>55</v>
      </c>
      <c r="B1" s="94"/>
      <c r="C1" s="94"/>
      <c r="D1" s="94"/>
      <c r="E1" s="94"/>
      <c r="F1" s="94"/>
      <c r="G1" s="94"/>
      <c r="H1" s="86" t="s">
        <v>37</v>
      </c>
      <c r="I1" s="74" t="s">
        <v>26</v>
      </c>
    </row>
    <row r="2" spans="1:9" s="85" customFormat="1" ht="20.25" customHeight="1" x14ac:dyDescent="0.2">
      <c r="A2" s="95" t="s">
        <v>3</v>
      </c>
      <c r="B2" s="95"/>
      <c r="C2" s="95"/>
      <c r="D2" s="95"/>
      <c r="E2" s="95"/>
      <c r="F2" s="95"/>
      <c r="G2" s="95"/>
      <c r="H2" s="31" t="s">
        <v>66</v>
      </c>
      <c r="I2" s="80" t="s">
        <v>42</v>
      </c>
    </row>
    <row r="3" spans="1:9" s="87" customFormat="1" ht="20.100000000000001" customHeight="1" x14ac:dyDescent="0.25">
      <c r="A3" s="19" t="s">
        <v>16</v>
      </c>
      <c r="B3" s="96" t="s">
        <v>73</v>
      </c>
      <c r="C3" s="96"/>
      <c r="D3" s="96"/>
      <c r="E3" s="61" t="s">
        <v>56</v>
      </c>
      <c r="F3" s="97"/>
      <c r="G3" s="98"/>
      <c r="H3" s="83" t="s">
        <v>53</v>
      </c>
      <c r="I3" s="91" t="s">
        <v>76</v>
      </c>
    </row>
    <row r="4" spans="1:9" s="15" customFormat="1" ht="31.5" customHeight="1" thickBot="1" x14ac:dyDescent="0.25">
      <c r="A4" s="40" t="s">
        <v>14</v>
      </c>
      <c r="B4" s="77" t="s">
        <v>19</v>
      </c>
      <c r="C4" s="33" t="s">
        <v>1</v>
      </c>
      <c r="D4" s="57" t="s">
        <v>2</v>
      </c>
      <c r="E4" s="49" t="s">
        <v>4</v>
      </c>
      <c r="F4" s="73" t="s">
        <v>70</v>
      </c>
      <c r="G4" s="90" t="s">
        <v>20</v>
      </c>
      <c r="H4" s="99" t="s">
        <v>23</v>
      </c>
      <c r="I4" s="100"/>
    </row>
    <row r="5" spans="1:9" ht="22.35" customHeight="1" thickTop="1" thickBot="1" x14ac:dyDescent="0.25">
      <c r="A5" s="16">
        <v>1</v>
      </c>
      <c r="B5" s="53" t="str">
        <f ca="1">IF(ISNA(MATCH(1,DATA_1!A2:A40,0)),"",IF(INDIRECT("DATA_1!C"&amp;(MATCH(1,DATA_1!A2:A40,0))+1)=999.99,"OFF",INDIRECT("DATA_1!C"&amp;(MATCH(1,DATA_1!A2:A40,0))+1)))</f>
        <v>OFF</v>
      </c>
      <c r="C5" s="18" t="str">
        <f ca="1">IF(ISNA(MATCH(1,DATA_1!A2:A40,0)),"",IF(INDIRECT("DATA_1!D"&amp;(MATCH(1,DATA_1!A2:A40,0))+1)=999.99,"OFF",INDIRECT("DATA_1!D"&amp;(MATCH(1,DATA_1!A2:A40,0))+1)))</f>
        <v>OFF</v>
      </c>
      <c r="D5" s="18">
        <v>0.02</v>
      </c>
      <c r="E5" s="59">
        <v>0.02</v>
      </c>
      <c r="F5" s="20" t="str">
        <f ca="1">IF(ISNA(MATCH(1,DATA_1!A2:A40,0)),"",IF(INDIRECT("DATA_1!G"&amp;(MATCH(1,DATA_1!A2:A40,0))+1)=999.99,"OFF",INDIRECT("DATA_1!G"&amp;(MATCH(1,DATA_1!A2:A40,0))+1)))</f>
        <v>OFF</v>
      </c>
      <c r="G5" s="64" t="str">
        <f ca="1">IF(ISNA(MATCH(1,DATA_1!A2:A40,0)),"",IF(INDIRECT("DATA_1!H"&amp;(MATCH(1,DATA_1!A2:A40,0))+1)=999.99,"OFF",INDIRECT("DATA_1!H"&amp;(MATCH(1,DATA_1!A2:A40,0))+1)))</f>
        <v>OFF</v>
      </c>
      <c r="H5" s="101">
        <v>0.02</v>
      </c>
      <c r="I5" s="102"/>
    </row>
    <row r="6" spans="1:9" ht="22.35" customHeight="1" thickTop="1" thickBot="1" x14ac:dyDescent="0.25">
      <c r="A6" s="41">
        <v>2</v>
      </c>
      <c r="B6" s="53" t="str">
        <f ca="1">IF(ISNA(MATCH(2,DATA_1!A2:A40,0)),"",IF(INDIRECT("DATA_1!C"&amp;(MATCH(2,DATA_1!A2:A40,0))+1)=999.99,"OFF",INDIRECT("DATA_1!C"&amp;(MATCH(2,DATA_1!A2:A40,0))+1)))</f>
        <v>OFF</v>
      </c>
      <c r="C6" s="18" t="str">
        <f ca="1">IF(ISNA(MATCH(2,DATA_1!A2:A40,0)),"",IF(INDIRECT("DATA_1!D"&amp;(MATCH(2,DATA_1!A2:A40,0))+1)=999.99,"OFF",INDIRECT("DATA_1!D"&amp;(MATCH(2,DATA_1!A2:A40,0))+1)))</f>
        <v>OFF</v>
      </c>
      <c r="D6" s="18">
        <v>0.01</v>
      </c>
      <c r="E6" s="59" t="str">
        <f ca="1">IF(ISNA(MATCH(2,DATA_1!A2:A40,0)),"",IF(INDIRECT("DATA_1!F"&amp;(MATCH(2,DATA_1!A2:A40,0))+1)=999.99,"OFF",INDIRECT("DATA_1!F"&amp;(MATCH(2,DATA_1!A2:A40,0))+1)))</f>
        <v>OFF</v>
      </c>
      <c r="F6" s="20">
        <v>0.02</v>
      </c>
      <c r="G6" s="64" t="str">
        <f ca="1">IF(ISNA(MATCH(2,DATA_1!A2:A40,0)),"",IF(INDIRECT("DATA_1!H"&amp;(MATCH(2,DATA_1!A2:A40,0))+1)=999.99,"OFF",INDIRECT("DATA_1!H"&amp;(MATCH(2,DATA_1!A2:A40,0))+1)))</f>
        <v>OFF</v>
      </c>
      <c r="H6" s="103">
        <v>0.02</v>
      </c>
      <c r="I6" s="104"/>
    </row>
    <row r="7" spans="1:9" ht="22.35" customHeight="1" thickTop="1" thickBot="1" x14ac:dyDescent="0.25">
      <c r="A7" s="41">
        <v>3</v>
      </c>
      <c r="B7" s="53" t="str">
        <f ca="1">IF(ISNA(MATCH(3,DATA_1!A2:A40,0)),"",IF(INDIRECT("DATA_1!C"&amp;(MATCH(3,DATA_1!A2:A40,0))+1)=999.99,"OFF",INDIRECT("DATA_1!C"&amp;(MATCH(3,DATA_1!A2:A40,0))+1)))</f>
        <v>OFF</v>
      </c>
      <c r="C7" s="18" t="str">
        <f ca="1">IF(ISNA(MATCH(3,DATA_1!A2:A40,0)),"",IF(INDIRECT("DATA_1!D"&amp;(MATCH(3,DATA_1!A2:A40,0))+1)=999.99,"OFF",INDIRECT("DATA_1!D"&amp;(MATCH(3,DATA_1!A2:A40,0))+1)))</f>
        <v>OFF</v>
      </c>
      <c r="D7" s="18">
        <v>0.02</v>
      </c>
      <c r="E7" s="59">
        <v>0.01</v>
      </c>
      <c r="F7" s="20">
        <v>0.01</v>
      </c>
      <c r="G7" s="64" t="str">
        <f ca="1">IF(ISNA(MATCH(3,DATA_1!A2:A40,0)),"",IF(INDIRECT("DATA_1!H"&amp;(MATCH(3,DATA_1!A2:A40,0))+1)=999.99,"OFF",INDIRECT("DATA_1!H"&amp;(MATCH(3,DATA_1!A2:A40,0))+1)))</f>
        <v>OFF</v>
      </c>
      <c r="H7" s="103">
        <v>0.02</v>
      </c>
      <c r="I7" s="104"/>
    </row>
    <row r="8" spans="1:9" ht="22.35" customHeight="1" thickTop="1" thickBot="1" x14ac:dyDescent="0.25">
      <c r="A8" s="41">
        <v>4</v>
      </c>
      <c r="B8" s="53" t="str">
        <f ca="1">IF(ISNA(MATCH(4,DATA_1!A2:A40,0)),"",IF(INDIRECT("DATA_1!C"&amp;(MATCH(4,DATA_1!A2:A40,0))+1)=999.99,"OFF",INDIRECT("DATA_1!C"&amp;(MATCH(4,DATA_1!A2:A40,0))+1)))</f>
        <v>OFF</v>
      </c>
      <c r="C8" s="18" t="str">
        <f ca="1">IF(ISNA(MATCH(4,DATA_1!A2:A40,0)),"",IF(INDIRECT("DATA_1!D"&amp;(MATCH(4,DATA_1!A2:A40,0))+1)=999.99,"OFF",INDIRECT("DATA_1!D"&amp;(MATCH(4,DATA_1!A2:A40,0))+1)))</f>
        <v>OFF</v>
      </c>
      <c r="D8" s="18" t="str">
        <f ca="1">IF(ISNA(MATCH(4,DATA_1!A2:A40,0)),"",IF(INDIRECT("DATA_1!E"&amp;(MATCH(4,DATA_1!A2:A40,0))+1)=999.99,"OFF",INDIRECT("DATA_1!E"&amp;(MATCH(4,DATA_1!A2:A40,0))+1)))</f>
        <v>OFF</v>
      </c>
      <c r="E8" s="59">
        <v>0.01</v>
      </c>
      <c r="F8" s="20">
        <v>0.01</v>
      </c>
      <c r="G8" s="64" t="str">
        <f ca="1">IF(ISNA(MATCH(4,DATA_1!A2:A40,0)),"",IF(INDIRECT("DATA_1!H"&amp;(MATCH(4,DATA_1!A2:A40,0))+1)=999.99,"OFF",INDIRECT("DATA_1!H"&amp;(MATCH(4,DATA_1!A2:A40,0))+1)))</f>
        <v>OFF</v>
      </c>
      <c r="H8" s="103">
        <v>0.01</v>
      </c>
      <c r="I8" s="104"/>
    </row>
    <row r="9" spans="1:9" ht="22.35" customHeight="1" thickTop="1" thickBot="1" x14ac:dyDescent="0.25">
      <c r="A9" s="41">
        <v>5</v>
      </c>
      <c r="B9" s="53" t="str">
        <f ca="1">IF(ISNA(MATCH(5,DATA_1!A2:A40,0)),"",IF(INDIRECT("DATA_1!C"&amp;(MATCH(5,DATA_1!A2:A40,0))+1)=999.99,"OFF",INDIRECT("DATA_1!C"&amp;(MATCH(5,DATA_1!A2:A40,0))+1)))</f>
        <v>OFF</v>
      </c>
      <c r="C9" s="18" t="str">
        <f ca="1">IF(ISNA(MATCH(5,DATA_1!A2:A40,0)),"",IF(INDIRECT("DATA_1!D"&amp;(MATCH(5,DATA_1!A2:A40,0))+1)=999.99,"OFF",INDIRECT("DATA_1!D"&amp;(MATCH(5,DATA_1!A2:A40,0))+1)))</f>
        <v>OFF</v>
      </c>
      <c r="D9" s="18">
        <v>0.01</v>
      </c>
      <c r="E9" s="59">
        <v>0.01</v>
      </c>
      <c r="F9" s="20" t="str">
        <f ca="1">IF(ISNA(MATCH(5,DATA_1!A2:A40,0)),"",IF(INDIRECT("DATA_1!G"&amp;(MATCH(5,DATA_1!A2:A40,0))+1)=999.99,"OFF",INDIRECT("DATA_1!G"&amp;(MATCH(5,DATA_1!A2:A40,0))+1)))</f>
        <v>OFF</v>
      </c>
      <c r="G9" s="64" t="str">
        <f ca="1">IF(ISNA(MATCH(5,DATA_1!A2:A40,0)),"",IF(INDIRECT("DATA_1!H"&amp;(MATCH(5,DATA_1!A2:A40,0))+1)=999.99,"OFF",INDIRECT("DATA_1!H"&amp;(MATCH(5,DATA_1!A2:A40,0))+1)))</f>
        <v>OFF</v>
      </c>
      <c r="H9" s="103">
        <v>0.01</v>
      </c>
      <c r="I9" s="104"/>
    </row>
    <row r="10" spans="1:9" ht="22.35" customHeight="1" thickTop="1" thickBot="1" x14ac:dyDescent="0.25">
      <c r="A10" s="41">
        <v>6</v>
      </c>
      <c r="B10" s="53" t="str">
        <f ca="1">IF(ISNA(MATCH(6,DATA_1!A2:A40,0)),"",IF(INDIRECT("DATA_1!C"&amp;(MATCH(6,DATA_1!A2:A40,0))+1)=999.99,"OFF",INDIRECT("DATA_1!C"&amp;(MATCH(6,DATA_1!A2:A40,0))+1)))</f>
        <v>OFF</v>
      </c>
      <c r="C10" s="18" t="str">
        <f ca="1">IF(ISNA(MATCH(6,DATA_1!A2:A40,0)),"",IF(INDIRECT("DATA_1!D"&amp;(MATCH(6,DATA_1!A2:A40,0))+1)=999.99,"OFF",INDIRECT("DATA_1!D"&amp;(MATCH(6,DATA_1!A2:A40,0))+1)))</f>
        <v>OFF</v>
      </c>
      <c r="D10" s="18">
        <v>0.01</v>
      </c>
      <c r="E10" s="59">
        <v>0.02</v>
      </c>
      <c r="F10" s="20">
        <v>0.02</v>
      </c>
      <c r="G10" s="64" t="str">
        <f ca="1">IF(ISNA(MATCH(6,DATA_1!A2:A40,0)),"",IF(INDIRECT("DATA_1!H"&amp;(MATCH(6,DATA_1!A2:A40,0))+1)=999.99,"OFF",INDIRECT("DATA_1!H"&amp;(MATCH(6,DATA_1!A2:A40,0))+1)))</f>
        <v>OFF</v>
      </c>
      <c r="H10" s="103">
        <v>0.02</v>
      </c>
      <c r="I10" s="104"/>
    </row>
    <row r="11" spans="1:9" ht="22.35" customHeight="1" thickTop="1" thickBot="1" x14ac:dyDescent="0.25">
      <c r="A11" s="41">
        <v>7</v>
      </c>
      <c r="B11" s="53" t="str">
        <f ca="1">IF(ISNA(MATCH(7,DATA_1!A2:A40,0)),"",IF(INDIRECT("DATA_1!C"&amp;(MATCH(7,DATA_1!A2:A40,0))+1)=999.99,"OFF",INDIRECT("DATA_1!C"&amp;(MATCH(7,DATA_1!A2:A40,0))+1)))</f>
        <v>OFF</v>
      </c>
      <c r="C11" s="18" t="str">
        <f ca="1">IF(ISNA(MATCH(7,DATA_1!A2:A40,0)),"",IF(INDIRECT("DATA_1!D"&amp;(MATCH(7,DATA_1!A2:A40,0))+1)=999.99,"OFF",INDIRECT("DATA_1!D"&amp;(MATCH(7,DATA_1!A2:A40,0))+1)))</f>
        <v>OFF</v>
      </c>
      <c r="D11" s="18">
        <v>0.02</v>
      </c>
      <c r="E11" s="59">
        <v>0.02</v>
      </c>
      <c r="F11" s="20" t="str">
        <f ca="1">IF(ISNA(MATCH(7,DATA_1!A2:A40,0)),"",IF(INDIRECT("DATA_1!G"&amp;(MATCH(7,DATA_1!A2:A40,0))+1)=999.99,"OFF",INDIRECT("DATA_1!G"&amp;(MATCH(7,DATA_1!A2:A40,0))+1)))</f>
        <v>OFF</v>
      </c>
      <c r="G11" s="64" t="str">
        <f ca="1">IF(ISNA(MATCH(7,DATA_1!A2:A40,0)),"",IF(INDIRECT("DATA_1!H"&amp;(MATCH(7,DATA_1!A2:A40,0))+1)=999.99,"OFF",INDIRECT("DATA_1!H"&amp;(MATCH(7,DATA_1!A2:A40,0))+1)))</f>
        <v>OFF</v>
      </c>
      <c r="H11" s="103">
        <v>0.02</v>
      </c>
      <c r="I11" s="104"/>
    </row>
    <row r="12" spans="1:9" ht="22.35" customHeight="1" thickTop="1" thickBot="1" x14ac:dyDescent="0.25">
      <c r="A12" s="41">
        <v>8</v>
      </c>
      <c r="B12" s="53" t="str">
        <f ca="1">IF(ISNA(MATCH(8,DATA_1!A2:A40,0)),"",IF(INDIRECT("DATA_1!C"&amp;(MATCH(8,DATA_1!A2:A40,0))+1)=999.99,"OFF",INDIRECT("DATA_1!C"&amp;(MATCH(8,DATA_1!A2:A40,0))+1)))</f>
        <v>OFF</v>
      </c>
      <c r="C12" s="18" t="str">
        <f ca="1">IF(ISNA(MATCH(8,DATA_1!A2:A40,0)),"",IF(INDIRECT("DATA_1!D"&amp;(MATCH(8,DATA_1!A2:A40,0))+1)=999.99,"OFF",INDIRECT("DATA_1!D"&amp;(MATCH(8,DATA_1!A2:A40,0))+1)))</f>
        <v>OFF</v>
      </c>
      <c r="D12" s="18">
        <v>0.02</v>
      </c>
      <c r="E12" s="59">
        <v>0.02</v>
      </c>
      <c r="F12" s="20" t="str">
        <f ca="1">IF(ISNA(MATCH(8,DATA_1!A2:A40,0)),"",IF(INDIRECT("DATA_1!G"&amp;(MATCH(8,DATA_1!A2:A40,0))+1)=999.99,"OFF",INDIRECT("DATA_1!G"&amp;(MATCH(8,DATA_1!A2:A40,0))+1)))</f>
        <v>OFF</v>
      </c>
      <c r="G12" s="64" t="str">
        <f ca="1">IF(ISNA(MATCH(8,DATA_1!A2:A40,0)),"",IF(INDIRECT("DATA_1!H"&amp;(MATCH(8,DATA_1!A2:A40,0))+1)=999.99,"OFF",INDIRECT("DATA_1!H"&amp;(MATCH(8,DATA_1!A2:A40,0))+1)))</f>
        <v>OFF</v>
      </c>
      <c r="H12" s="103">
        <v>0.02</v>
      </c>
      <c r="I12" s="104"/>
    </row>
    <row r="13" spans="1:9" ht="22.35" customHeight="1" thickTop="1" thickBot="1" x14ac:dyDescent="0.25">
      <c r="A13" s="41">
        <v>9</v>
      </c>
      <c r="B13" s="53" t="str">
        <f ca="1">IF(ISNA(MATCH(9,DATA_1!A2:A40,0)),"",IF(INDIRECT("DATA_1!C"&amp;(MATCH(9,DATA_1!A2:A40,0))+1)=999.99,"OFF",INDIRECT("DATA_1!C"&amp;(MATCH(9,DATA_1!A2:A40,0))+1)))</f>
        <v>OFF</v>
      </c>
      <c r="C13" s="18" t="str">
        <f ca="1">IF(ISNA(MATCH(9,DATA_1!A2:A40,0)),"",IF(INDIRECT("DATA_1!D"&amp;(MATCH(9,DATA_1!A2:A40,0))+1)=999.99,"OFF",INDIRECT("DATA_1!D"&amp;(MATCH(9,DATA_1!A2:A40,0))+1)))</f>
        <v>OFF</v>
      </c>
      <c r="D13" s="18" t="str">
        <f ca="1">IF(ISNA(MATCH(9,DATA_1!A2:A40,0)),"",IF(INDIRECT("DATA_1!E"&amp;(MATCH(9,DATA_1!A2:A40,0))+1)=999.99,"OFF",INDIRECT("DATA_1!E"&amp;(MATCH(9,DATA_1!A2:A40,0))+1)))</f>
        <v>OFF</v>
      </c>
      <c r="E13" s="59">
        <v>0.02</v>
      </c>
      <c r="F13" s="20" t="str">
        <f ca="1">IF(ISNA(MATCH(9,DATA_1!A2:A40,0)),"",IF(INDIRECT("DATA_1!G"&amp;(MATCH(9,DATA_1!A2:A40,0))+1)=999.99,"OFF",INDIRECT("DATA_1!G"&amp;(MATCH(9,DATA_1!A2:A40,0))+1)))</f>
        <v>OFF</v>
      </c>
      <c r="G13" s="64" t="str">
        <f ca="1">IF(ISNA(MATCH(9,DATA_1!A2:A40,0)),"",IF(INDIRECT("DATA_1!H"&amp;(MATCH(9,DATA_1!A2:A40,0))+1)=999.99,"OFF",INDIRECT("DATA_1!H"&amp;(MATCH(9,DATA_1!A2:A40,0))+1)))</f>
        <v>OFF</v>
      </c>
      <c r="H13" s="103">
        <v>0.02</v>
      </c>
      <c r="I13" s="104"/>
    </row>
    <row r="14" spans="1:9" ht="22.35" customHeight="1" thickTop="1" thickBot="1" x14ac:dyDescent="0.25">
      <c r="A14" s="41">
        <v>10</v>
      </c>
      <c r="B14" s="53" t="str">
        <f ca="1">IF(ISNA(MATCH(10,DATA_1!A2:A40,0)),"",IF(INDIRECT("DATA_1!C"&amp;(MATCH(10,DATA_1!A2:A40,0))+1)=999.99,"OFF",INDIRECT("DATA_1!C"&amp;(MATCH(10,DATA_1!A2:A40,0))+1)))</f>
        <v>OFF</v>
      </c>
      <c r="C14" s="18" t="str">
        <f ca="1">IF(ISNA(MATCH(10,DATA_1!A2:A40,0)),"",IF(INDIRECT("DATA_1!D"&amp;(MATCH(10,DATA_1!A2:A40,0))+1)=999.99,"OFF",INDIRECT("DATA_1!D"&amp;(MATCH(10,DATA_1!A2:A40,0))+1)))</f>
        <v>OFF</v>
      </c>
      <c r="D14" s="18">
        <v>0.02</v>
      </c>
      <c r="E14" s="59">
        <v>0.02</v>
      </c>
      <c r="F14" s="20">
        <v>0.02</v>
      </c>
      <c r="G14" s="64" t="str">
        <f ca="1">IF(ISNA(MATCH(10,DATA_1!A2:A40,0)),"",IF(INDIRECT("DATA_1!H"&amp;(MATCH(10,DATA_1!A2:A40,0))+1)=999.99,"OFF",INDIRECT("DATA_1!H"&amp;(MATCH(10,DATA_1!A2:A40,0))+1)))</f>
        <v>OFF</v>
      </c>
      <c r="H14" s="103">
        <v>0.02</v>
      </c>
      <c r="I14" s="104"/>
    </row>
    <row r="15" spans="1:9" ht="22.35" customHeight="1" thickTop="1" thickBot="1" x14ac:dyDescent="0.25">
      <c r="A15" s="41">
        <v>11</v>
      </c>
      <c r="B15" s="53" t="str">
        <f ca="1">IF(ISNA(MATCH(11,DATA_1!A2:A40,0)),"",IF(INDIRECT("DATA_1!C"&amp;(MATCH(11,DATA_1!A2:A40,0))+1)=999.99,"OFF",INDIRECT("DATA_1!C"&amp;(MATCH(11,DATA_1!A2:A40,0))+1)))</f>
        <v>OFF</v>
      </c>
      <c r="C15" s="18" t="str">
        <f ca="1">IF(ISNA(MATCH(11,DATA_1!A2:A40,0)),"",IF(INDIRECT("DATA_1!D"&amp;(MATCH(11,DATA_1!A2:A40,0))+1)=999.99,"OFF",INDIRECT("DATA_1!D"&amp;(MATCH(11,DATA_1!A2:A40,0))+1)))</f>
        <v>OFF</v>
      </c>
      <c r="D15" s="18">
        <v>0.02</v>
      </c>
      <c r="E15" s="59">
        <v>0.02</v>
      </c>
      <c r="F15" s="20">
        <v>0.01</v>
      </c>
      <c r="G15" s="64" t="str">
        <f ca="1">IF(ISNA(MATCH(11,DATA_1!A2:A40,0)),"",IF(INDIRECT("DATA_1!H"&amp;(MATCH(11,DATA_1!A2:A40,0))+1)=999.99,"OFF",INDIRECT("DATA_1!H"&amp;(MATCH(11,DATA_1!A2:A40,0))+1)))</f>
        <v>OFF</v>
      </c>
      <c r="H15" s="103">
        <v>0.02</v>
      </c>
      <c r="I15" s="104"/>
    </row>
    <row r="16" spans="1:9" ht="22.35" customHeight="1" thickTop="1" thickBot="1" x14ac:dyDescent="0.25">
      <c r="A16" s="41">
        <v>12</v>
      </c>
      <c r="B16" s="53" t="str">
        <f ca="1">IF(ISNA(MATCH(12,DATA_1!A2:A40,0)),"",IF(INDIRECT("DATA_1!C"&amp;(MATCH(12,DATA_1!A2:A40,0))+1)=999.99,"OFF",INDIRECT("DATA_1!C"&amp;(MATCH(12,DATA_1!A2:A40,0))+1)))</f>
        <v>OFF</v>
      </c>
      <c r="C16" s="18" t="str">
        <f ca="1">IF(ISNA(MATCH(12,DATA_1!A2:A40,0)),"",IF(INDIRECT("DATA_1!D"&amp;(MATCH(12,DATA_1!A2:A40,0))+1)=999.99,"OFF",INDIRECT("DATA_1!D"&amp;(MATCH(12,DATA_1!A2:A40,0))+1)))</f>
        <v>OFF</v>
      </c>
      <c r="D16" s="18">
        <v>0.01</v>
      </c>
      <c r="E16" s="59">
        <v>0.01</v>
      </c>
      <c r="F16" s="20">
        <v>0.01</v>
      </c>
      <c r="G16" s="64" t="str">
        <f ca="1">IF(ISNA(MATCH(12,DATA_1!A2:A40,0)),"",IF(INDIRECT("DATA_1!H"&amp;(MATCH(12,DATA_1!A2:A40,0))+1)=999.99,"OFF",INDIRECT("DATA_1!H"&amp;(MATCH(12,DATA_1!A2:A40,0))+1)))</f>
        <v>OFF</v>
      </c>
      <c r="H16" s="103">
        <v>0.01</v>
      </c>
      <c r="I16" s="104"/>
    </row>
    <row r="17" spans="1:9" ht="22.35" customHeight="1" thickTop="1" thickBot="1" x14ac:dyDescent="0.25">
      <c r="A17" s="41">
        <v>13</v>
      </c>
      <c r="B17" s="53" t="str">
        <f ca="1">IF(ISNA(MATCH(13,DATA_1!A2:A40,0)),"",IF(INDIRECT("DATA_1!C"&amp;(MATCH(13,DATA_1!A2:A40,0))+1)=999.99,"OFF",INDIRECT("DATA_1!C"&amp;(MATCH(13,DATA_1!A2:A40,0))+1)))</f>
        <v>OFF</v>
      </c>
      <c r="C17" s="18" t="str">
        <f ca="1">IF(ISNA(MATCH(13,DATA_1!A2:A40,0)),"",IF(INDIRECT("DATA_1!D"&amp;(MATCH(13,DATA_1!A2:A40,0))+1)=999.99,"OFF",INDIRECT("DATA_1!D"&amp;(MATCH(13,DATA_1!A2:A40,0))+1)))</f>
        <v>OFF</v>
      </c>
      <c r="D17" s="18">
        <v>0.01</v>
      </c>
      <c r="E17" s="59" t="str">
        <f ca="1">IF(ISNA(MATCH(13,DATA_1!A2:A40,0)),"",IF(INDIRECT("DATA_1!F"&amp;(MATCH(13,DATA_1!A2:A40,0))+1)=999.99,"OFF",INDIRECT("DATA_1!F"&amp;(MATCH(13,DATA_1!A2:A40,0))+1)))</f>
        <v>OFF</v>
      </c>
      <c r="F17" s="20" t="str">
        <f ca="1">IF(ISNA(MATCH(13,DATA_1!A2:A40,0)),"",IF(INDIRECT("DATA_1!G"&amp;(MATCH(13,DATA_1!A2:A40,0))+1)=999.99,"OFF",INDIRECT("DATA_1!G"&amp;(MATCH(13,DATA_1!A2:A40,0))+1)))</f>
        <v>OFF</v>
      </c>
      <c r="G17" s="64">
        <v>0.01</v>
      </c>
      <c r="H17" s="103">
        <v>0.01</v>
      </c>
      <c r="I17" s="104"/>
    </row>
    <row r="18" spans="1:9" ht="22.35" customHeight="1" thickTop="1" thickBot="1" x14ac:dyDescent="0.25">
      <c r="A18" s="41">
        <v>14</v>
      </c>
      <c r="B18" s="53" t="str">
        <f ca="1">IF(ISNA(MATCH(14,DATA_1!A2:A40,0)),"",IF(INDIRECT("DATA_1!C"&amp;(MATCH(14,DATA_1!A2:A40,0))+1)=999.99,"OFF",INDIRECT("DATA_1!C"&amp;(MATCH(14,DATA_1!A2:A40,0))+1)))</f>
        <v>OFF</v>
      </c>
      <c r="C18" s="18" t="str">
        <f ca="1">IF(ISNA(MATCH(14,DATA_1!A2:A40,0)),"",IF(INDIRECT("DATA_1!D"&amp;(MATCH(14,DATA_1!A2:A40,0))+1)=999.99,"OFF",INDIRECT("DATA_1!D"&amp;(MATCH(14,DATA_1!A2:A40,0))+1)))</f>
        <v>OFF</v>
      </c>
      <c r="D18" s="18">
        <v>0.01</v>
      </c>
      <c r="E18" s="59">
        <v>0.01</v>
      </c>
      <c r="F18" s="20">
        <v>0.01</v>
      </c>
      <c r="G18" s="64" t="str">
        <f ca="1">IF(ISNA(MATCH(14,DATA_1!A2:A40,0)),"",IF(INDIRECT("DATA_1!H"&amp;(MATCH(14,DATA_1!A2:A40,0))+1)=999.99,"OFF",INDIRECT("DATA_1!H"&amp;(MATCH(14,DATA_1!A2:A40,0))+1)))</f>
        <v>OFF</v>
      </c>
      <c r="H18" s="103">
        <v>0.01</v>
      </c>
      <c r="I18" s="104"/>
    </row>
    <row r="19" spans="1:9" ht="22.35" customHeight="1" thickTop="1" thickBot="1" x14ac:dyDescent="0.25">
      <c r="A19" s="41">
        <v>15</v>
      </c>
      <c r="B19" s="53" t="str">
        <f ca="1">IF(ISNA(MATCH(15,DATA_1!A2:A40,0)),"",IF(INDIRECT("DATA_1!C"&amp;(MATCH(15,DATA_1!A2:A40,0))+1)=999.99,"OFF",INDIRECT("DATA_1!C"&amp;(MATCH(15,DATA_1!A2:A40,0))+1)))</f>
        <v>OFF</v>
      </c>
      <c r="C19" s="18" t="str">
        <f ca="1">IF(ISNA(MATCH(15,DATA_1!A2:A40,0)),"",IF(INDIRECT("DATA_1!D"&amp;(MATCH(15,DATA_1!A2:A40,0))+1)=999.99,"OFF",INDIRECT("DATA_1!D"&amp;(MATCH(15,DATA_1!A2:A40,0))+1)))</f>
        <v>OFF</v>
      </c>
      <c r="D19" s="18" t="str">
        <f ca="1">IF(ISNA(MATCH(15,DATA_1!A2:A40,0)),"",IF(INDIRECT("DATA_1!E"&amp;(MATCH(15,DATA_1!A2:A40,0))+1)=999.99,"OFF",INDIRECT("DATA_1!E"&amp;(MATCH(15,DATA_1!A2:A40,0))+1)))</f>
        <v>OFF</v>
      </c>
      <c r="E19" s="59">
        <v>0.02</v>
      </c>
      <c r="F19" s="20">
        <v>0.02</v>
      </c>
      <c r="G19" s="64" t="str">
        <f ca="1">IF(ISNA(MATCH(15,DATA_1!A2:A40,0)),"",IF(INDIRECT("DATA_1!H"&amp;(MATCH(15,DATA_1!A2:A40,0))+1)=999.99,"OFF",INDIRECT("DATA_1!H"&amp;(MATCH(15,DATA_1!A2:A40,0))+1)))</f>
        <v>OFF</v>
      </c>
      <c r="H19" s="103">
        <v>0.02</v>
      </c>
      <c r="I19" s="104"/>
    </row>
    <row r="20" spans="1:9" ht="22.35" customHeight="1" thickTop="1" thickBot="1" x14ac:dyDescent="0.25">
      <c r="A20" s="41">
        <v>16</v>
      </c>
      <c r="B20" s="53" t="str">
        <f ca="1">IF(ISNA(MATCH(16,DATA_1!A2:A40,0)),"",IF(INDIRECT("DATA_1!C"&amp;(MATCH(16,DATA_1!A2:A40,0))+1)=999.99,"OFF",INDIRECT("DATA_1!C"&amp;(MATCH(16,DATA_1!A2:A40,0))+1)))</f>
        <v>OFF</v>
      </c>
      <c r="C20" s="18" t="str">
        <f ca="1">IF(ISNA(MATCH(16,DATA_1!A2:A40,0)),"",IF(INDIRECT("DATA_1!D"&amp;(MATCH(16,DATA_1!A2:A40,0))+1)=999.99,"OFF",INDIRECT("DATA_1!D"&amp;(MATCH(16,DATA_1!A2:A40,0))+1)))</f>
        <v>OFF</v>
      </c>
      <c r="D20" s="18">
        <v>0.02</v>
      </c>
      <c r="E20" s="59">
        <v>0.02</v>
      </c>
      <c r="F20" s="20">
        <v>0.02</v>
      </c>
      <c r="G20" s="64" t="str">
        <f ca="1">IF(ISNA(MATCH(16,DATA_1!A2:A40,0)),"",IF(INDIRECT("DATA_1!H"&amp;(MATCH(16,DATA_1!A2:A40,0))+1)=999.99,"OFF",INDIRECT("DATA_1!H"&amp;(MATCH(16,DATA_1!A2:A40,0))+1)))</f>
        <v>OFF</v>
      </c>
      <c r="H20" s="103">
        <v>0.02</v>
      </c>
      <c r="I20" s="104"/>
    </row>
    <row r="21" spans="1:9" ht="22.35" customHeight="1" thickTop="1" thickBot="1" x14ac:dyDescent="0.25">
      <c r="A21" s="41">
        <v>17</v>
      </c>
      <c r="B21" s="53" t="str">
        <f ca="1">IF(ISNA(MATCH(17,DATA_1!A2:A40,0)),"",IF(INDIRECT("DATA_1!C"&amp;(MATCH(17,DATA_1!A2:A40,0))+1)=999.99,"OFF",INDIRECT("DATA_1!C"&amp;(MATCH(17,DATA_1!A2:A40,0))+1)))</f>
        <v>OFF</v>
      </c>
      <c r="C21" s="18" t="str">
        <f ca="1">IF(ISNA(MATCH(17,DATA_1!A2:A40,0)),"",IF(INDIRECT("DATA_1!D"&amp;(MATCH(17,DATA_1!A2:A40,0))+1)=999.99,"OFF",INDIRECT("DATA_1!D"&amp;(MATCH(17,DATA_1!A2:A40,0))+1)))</f>
        <v>OFF</v>
      </c>
      <c r="D21" s="18">
        <v>0.02</v>
      </c>
      <c r="E21" s="59">
        <f ca="1">IF(ISNA(MATCH(17,DATA_1!A2:A40,0)),"",IF(INDIRECT("DATA_1!F"&amp;(MATCH(17,DATA_1!A2:A40,0))+1)=999.99,"OFF",INDIRECT("DATA_1!F"&amp;(MATCH(17,DATA_1!A2:A40,0))+1)))</f>
        <v>2.2236570000000001E-2</v>
      </c>
      <c r="F21" s="20">
        <v>0.02</v>
      </c>
      <c r="G21" s="64" t="str">
        <f ca="1">IF(ISNA(MATCH(17,DATA_1!A2:A40,0)),"",IF(INDIRECT("DATA_1!H"&amp;(MATCH(17,DATA_1!A2:A40,0))+1)=999.99,"OFF",INDIRECT("DATA_1!H"&amp;(MATCH(17,DATA_1!A2:A40,0))+1)))</f>
        <v>OFF</v>
      </c>
      <c r="H21" s="103">
        <v>0.02</v>
      </c>
      <c r="I21" s="104"/>
    </row>
    <row r="22" spans="1:9" ht="22.35" customHeight="1" thickTop="1" thickBot="1" x14ac:dyDescent="0.25">
      <c r="A22" s="41">
        <v>18</v>
      </c>
      <c r="B22" s="53" t="str">
        <f ca="1">IF(ISNA(MATCH(18,DATA_1!A2:A40,0)),"",IF(INDIRECT("DATA_1!C"&amp;(MATCH(18,DATA_1!A2:A40,0))+1)=999.99,"OFF",INDIRECT("DATA_1!C"&amp;(MATCH(18,DATA_1!A2:A40,0))+1)))</f>
        <v>OFF</v>
      </c>
      <c r="C22" s="18" t="str">
        <f ca="1">IF(ISNA(MATCH(18,DATA_1!A2:A40,0)),"",IF(INDIRECT("DATA_1!D"&amp;(MATCH(18,DATA_1!A2:A40,0))+1)=999.99,"OFF",INDIRECT("DATA_1!D"&amp;(MATCH(18,DATA_1!A2:A40,0))+1)))</f>
        <v>OFF</v>
      </c>
      <c r="D22" s="18">
        <v>0.02</v>
      </c>
      <c r="E22" s="59">
        <v>0.02</v>
      </c>
      <c r="F22" s="20">
        <v>0.02</v>
      </c>
      <c r="G22" s="64" t="str">
        <f ca="1">IF(ISNA(MATCH(18,DATA_1!A2:A40,0)),"",IF(INDIRECT("DATA_1!H"&amp;(MATCH(18,DATA_1!A2:A40,0))+1)=999.99,"OFF",INDIRECT("DATA_1!H"&amp;(MATCH(18,DATA_1!A2:A40,0))+1)))</f>
        <v>OFF</v>
      </c>
      <c r="H22" s="103">
        <v>0.02</v>
      </c>
      <c r="I22" s="104"/>
    </row>
    <row r="23" spans="1:9" ht="22.35" customHeight="1" thickTop="1" thickBot="1" x14ac:dyDescent="0.25">
      <c r="A23" s="41">
        <v>19</v>
      </c>
      <c r="B23" s="53" t="str">
        <f ca="1">IF(ISNA(MATCH(19,DATA_1!A2:A40,0)),"",IF(INDIRECT("DATA_1!C"&amp;(MATCH(19,DATA_1!A2:A40,0))+1)=999.99,"OFF",INDIRECT("DATA_1!C"&amp;(MATCH(19,DATA_1!A2:A40,0))+1)))</f>
        <v>OFF</v>
      </c>
      <c r="C23" s="18" t="str">
        <f ca="1">IF(ISNA(MATCH(19,DATA_1!A2:A40,0)),"",IF(INDIRECT("DATA_1!D"&amp;(MATCH(19,DATA_1!A2:A40,0))+1)=999.99,"OFF",INDIRECT("DATA_1!D"&amp;(MATCH(19,DATA_1!A2:A40,0))+1)))</f>
        <v>OFF</v>
      </c>
      <c r="D23" s="18">
        <v>0.02</v>
      </c>
      <c r="E23" s="59" t="str">
        <f ca="1">IF(ISNA(MATCH(19,DATA_1!A2:A40,0)),"",IF(INDIRECT("DATA_1!F"&amp;(MATCH(19,DATA_1!A2:A40,0))+1)=999.99,"OFF",INDIRECT("DATA_1!F"&amp;(MATCH(19,DATA_1!A2:A40,0))+1)))</f>
        <v>OFF</v>
      </c>
      <c r="F23" s="20" t="str">
        <f ca="1">IF(ISNA(MATCH(19,DATA_1!A2:A40,0)),"",IF(INDIRECT("DATA_1!G"&amp;(MATCH(19,DATA_1!A2:A40,0))+1)=999.99,"OFF",INDIRECT("DATA_1!G"&amp;(MATCH(19,DATA_1!A2:A40,0))+1)))</f>
        <v>OFF</v>
      </c>
      <c r="G23" s="64" t="str">
        <f ca="1">IF(ISNA(MATCH(19,DATA_1!A2:A40,0)),"",IF(INDIRECT("DATA_1!H"&amp;(MATCH(19,DATA_1!A2:A40,0))+1)=999.99,"OFF",INDIRECT("DATA_1!H"&amp;(MATCH(19,DATA_1!A2:A40,0))+1)))</f>
        <v>OFF</v>
      </c>
      <c r="H23" s="103">
        <v>0.02</v>
      </c>
      <c r="I23" s="104"/>
    </row>
    <row r="24" spans="1:9" ht="22.35" customHeight="1" thickTop="1" thickBot="1" x14ac:dyDescent="0.25">
      <c r="A24" s="41">
        <v>20</v>
      </c>
      <c r="B24" s="53">
        <v>0.02</v>
      </c>
      <c r="C24" s="18" t="str">
        <f ca="1">IF(ISNA(MATCH(20,DATA_1!A2:A40,0)),"",IF(INDIRECT("DATA_1!D"&amp;(MATCH(20,DATA_1!A2:A40,0))+1)=999.99,"OFF",INDIRECT("DATA_1!D"&amp;(MATCH(20,DATA_1!A2:A40,0))+1)))</f>
        <v>OFF</v>
      </c>
      <c r="D24" s="18">
        <f ca="1">IF(ISNA(MATCH(20,DATA_1!A2:A40,0)),"",IF(INDIRECT("DATA_1!E"&amp;(MATCH(20,DATA_1!A2:A40,0))+1)=999.99,"OFF",INDIRECT("DATA_1!E"&amp;(MATCH(20,DATA_1!A2:A40,0))+1)))</f>
        <v>2.45528E-2</v>
      </c>
      <c r="E24" s="59">
        <f ca="1">IF(ISNA(MATCH(20,DATA_1!A2:A40,0)),"",IF(INDIRECT("DATA_1!F"&amp;(MATCH(20,DATA_1!A2:A40,0))+1)=999.99,"OFF",INDIRECT("DATA_1!F"&amp;(MATCH(20,DATA_1!A2:A40,0))+1)))</f>
        <v>2.3198400000000001E-2</v>
      </c>
      <c r="F24" s="20" t="str">
        <f ca="1">IF(ISNA(MATCH(20,DATA_1!A2:A40,0)),"",IF(INDIRECT("DATA_1!G"&amp;(MATCH(20,DATA_1!A2:A40,0))+1)=999.99,"OFF",INDIRECT("DATA_1!G"&amp;(MATCH(20,DATA_1!A2:A40,0))+1)))</f>
        <v>OFF</v>
      </c>
      <c r="G24" s="64" t="str">
        <f ca="1">IF(ISNA(MATCH(20,DATA_1!A2:A40,0)),"",IF(INDIRECT("DATA_1!H"&amp;(MATCH(20,DATA_1!A2:A40,0))+1)=999.99,"OFF",INDIRECT("DATA_1!H"&amp;(MATCH(20,DATA_1!A2:A40,0))+1)))</f>
        <v>OFF</v>
      </c>
      <c r="H24" s="103">
        <v>0.02</v>
      </c>
      <c r="I24" s="104"/>
    </row>
    <row r="25" spans="1:9" ht="22.35" customHeight="1" thickTop="1" thickBot="1" x14ac:dyDescent="0.25">
      <c r="A25" s="41">
        <v>21</v>
      </c>
      <c r="B25" s="53" t="str">
        <f ca="1">IF(ISNA(MATCH(21,DATA_1!A2:A40,0)),"",IF(INDIRECT("DATA_1!C"&amp;(MATCH(21,DATA_1!A2:A40,0))+1)=999.99,"OFF",INDIRECT("DATA_1!C"&amp;(MATCH(21,DATA_1!A2:A40,0))+1)))</f>
        <v>OFF</v>
      </c>
      <c r="C25" s="18" t="str">
        <f ca="1">IF(ISNA(MATCH(21,DATA_1!A2:A40,0)),"",IF(INDIRECT("DATA_1!D"&amp;(MATCH(21,DATA_1!A2:A40,0))+1)=999.99,"OFF",INDIRECT("DATA_1!D"&amp;(MATCH(21,DATA_1!A2:A40,0))+1)))</f>
        <v>OFF</v>
      </c>
      <c r="D25" s="18">
        <v>0.02</v>
      </c>
      <c r="E25" s="59" t="str">
        <f ca="1">IF(ISNA(MATCH(21,DATA_1!A2:A40,0)),"",IF(INDIRECT("DATA_1!F"&amp;(MATCH(21,DATA_1!A2:A40,0))+1)=999.99,"OFF",INDIRECT("DATA_1!F"&amp;(MATCH(21,DATA_1!A2:A40,0))+1)))</f>
        <v>OFF</v>
      </c>
      <c r="F25" s="20" t="str">
        <f ca="1">IF(ISNA(MATCH(21,DATA_1!A2:A40,0)),"",IF(INDIRECT("DATA_1!G"&amp;(MATCH(21,DATA_1!A2:A40,0))+1)=999.99,"OFF",INDIRECT("DATA_1!G"&amp;(MATCH(21,DATA_1!A2:A40,0))+1)))</f>
        <v>OFF</v>
      </c>
      <c r="G25" s="64">
        <v>0.02</v>
      </c>
      <c r="H25" s="103">
        <v>2.1000000000000001E-2</v>
      </c>
      <c r="I25" s="104"/>
    </row>
    <row r="26" spans="1:9" ht="22.35" customHeight="1" thickTop="1" thickBot="1" x14ac:dyDescent="0.25">
      <c r="A26" s="41">
        <v>22</v>
      </c>
      <c r="B26" s="53" t="str">
        <f ca="1">IF(ISNA(MATCH(22,DATA_1!A2:A40,0)),"",IF(INDIRECT("DATA_1!C"&amp;(MATCH(22,DATA_1!A2:A40,0))+1)=999.99,"OFF",INDIRECT("DATA_1!C"&amp;(MATCH(22,DATA_1!A2:A40,0))+1)))</f>
        <v>OFF</v>
      </c>
      <c r="C26" s="18" t="str">
        <f ca="1">IF(ISNA(MATCH(22,DATA_1!A2:A40,0)),"",IF(INDIRECT("DATA_1!D"&amp;(MATCH(22,DATA_1!A2:A40,0))+1)=999.99,"OFF",INDIRECT("DATA_1!D"&amp;(MATCH(22,DATA_1!A2:A40,0))+1)))</f>
        <v>OFF</v>
      </c>
      <c r="D26" s="18">
        <v>0.02</v>
      </c>
      <c r="E26" s="59" t="str">
        <f ca="1">IF(ISNA(MATCH(22,DATA_1!A2:A40,0)),"",IF(INDIRECT("DATA_1!F"&amp;(MATCH(22,DATA_1!A2:A40,0))+1)=999.99,"OFF",INDIRECT("DATA_1!F"&amp;(MATCH(22,DATA_1!A2:A40,0))+1)))</f>
        <v>OFF</v>
      </c>
      <c r="F26" s="20">
        <v>0.02</v>
      </c>
      <c r="G26" s="64">
        <f ca="1">IF(ISNA(MATCH(22,DATA_1!A2:A40,0)),"",IF(INDIRECT("DATA_1!H"&amp;(MATCH(22,DATA_1!A2:A40,0))+1)=999.99,"OFF",INDIRECT("DATA_1!H"&amp;(MATCH(22,DATA_1!A2:A40,0))+1)))</f>
        <v>1.8879980000000001E-2</v>
      </c>
      <c r="H26" s="103">
        <v>0.02</v>
      </c>
      <c r="I26" s="104"/>
    </row>
    <row r="27" spans="1:9" ht="22.35" customHeight="1" thickTop="1" thickBot="1" x14ac:dyDescent="0.25">
      <c r="A27" s="41">
        <v>23</v>
      </c>
      <c r="B27" s="53">
        <f ca="1">IF(ISNA(MATCH(23,DATA_1!A2:A40,0)),"",IF(INDIRECT("DATA_1!C"&amp;(MATCH(23,DATA_1!A2:A40,0))+1)=999.99,"OFF",INDIRECT("DATA_1!C"&amp;(MATCH(23,DATA_1!A2:A40,0))+1)))</f>
        <v>2.49454E-2</v>
      </c>
      <c r="C27" s="18" t="str">
        <f ca="1">IF(ISNA(MATCH(23,DATA_1!A2:A40,0)),"",IF(INDIRECT("DATA_1!D"&amp;(MATCH(23,DATA_1!A2:A40,0))+1)=999.99,"OFF",INDIRECT("DATA_1!D"&amp;(MATCH(23,DATA_1!A2:A40,0))+1)))</f>
        <v>OFF</v>
      </c>
      <c r="D27" s="18">
        <v>0.02</v>
      </c>
      <c r="E27" s="59">
        <f ca="1">IF(ISNA(MATCH(23,DATA_1!A2:A40,0)),"",IF(INDIRECT("DATA_1!F"&amp;(MATCH(23,DATA_1!A2:A40,0))+1)=999.99,"OFF",INDIRECT("DATA_1!F"&amp;(MATCH(23,DATA_1!A2:A40,0))+1)))</f>
        <v>2.3610599999999999E-2</v>
      </c>
      <c r="F27" s="20">
        <v>0.02</v>
      </c>
      <c r="G27" s="64" t="str">
        <f ca="1">IF(ISNA(MATCH(23,DATA_1!A2:A40,0)),"",IF(INDIRECT("DATA_1!H"&amp;(MATCH(23,DATA_1!A2:A40,0))+1)=999.99,"OFF",INDIRECT("DATA_1!H"&amp;(MATCH(23,DATA_1!A2:A40,0))+1)))</f>
        <v>OFF</v>
      </c>
      <c r="H27" s="103">
        <v>0.02</v>
      </c>
      <c r="I27" s="104"/>
    </row>
    <row r="28" spans="1:9" ht="22.35" customHeight="1" thickTop="1" thickBot="1" x14ac:dyDescent="0.25">
      <c r="A28" s="41">
        <v>24</v>
      </c>
      <c r="B28" s="53" t="str">
        <f ca="1">IF(ISNA(MATCH(24,DATA_1!A2:A40,0)),"",IF(INDIRECT("DATA_1!C"&amp;(MATCH(24,DATA_1!A2:A40,0))+1)=999.99,"OFF",INDIRECT("DATA_1!C"&amp;(MATCH(24,DATA_1!A2:A40,0))+1)))</f>
        <v>OFF</v>
      </c>
      <c r="C28" s="18" t="str">
        <f ca="1">IF(ISNA(MATCH(24,DATA_1!A2:A40,0)),"",IF(INDIRECT("DATA_1!D"&amp;(MATCH(24,DATA_1!A2:A40,0))+1)=999.99,"OFF",INDIRECT("DATA_1!D"&amp;(MATCH(24,DATA_1!A2:A40,0))+1)))</f>
        <v>OFF</v>
      </c>
      <c r="D28" s="18" t="str">
        <f ca="1">IF(ISNA(MATCH(24,DATA_1!A2:A40,0)),"",IF(INDIRECT("DATA_1!E"&amp;(MATCH(24,DATA_1!A2:A40,0))+1)=999.99,"OFF",INDIRECT("DATA_1!E"&amp;(MATCH(24,DATA_1!A2:A40,0))+1)))</f>
        <v>OFF</v>
      </c>
      <c r="E28" s="59">
        <v>0.02</v>
      </c>
      <c r="F28" s="20">
        <f ca="1">IF(ISNA(MATCH(24,DATA_1!A2:A40,0)),"",IF(INDIRECT("DATA_1!G"&amp;(MATCH(24,DATA_1!A2:A40,0))+1)=999.99,"OFF",INDIRECT("DATA_1!G"&amp;(MATCH(24,DATA_1!A2:A40,0))+1)))</f>
        <v>2.3728389999999999E-2</v>
      </c>
      <c r="G28" s="64" t="str">
        <f ca="1">IF(ISNA(MATCH(24,DATA_1!A2:A40,0)),"",IF(INDIRECT("DATA_1!H"&amp;(MATCH(24,DATA_1!A2:A40,0))+1)=999.99,"OFF",INDIRECT("DATA_1!H"&amp;(MATCH(24,DATA_1!A2:A40,0))+1)))</f>
        <v>OFF</v>
      </c>
      <c r="H28" s="103">
        <v>0.02</v>
      </c>
      <c r="I28" s="104"/>
    </row>
    <row r="29" spans="1:9" ht="22.35" customHeight="1" thickTop="1" thickBot="1" x14ac:dyDescent="0.25">
      <c r="A29" s="41">
        <v>25</v>
      </c>
      <c r="B29" s="53" t="str">
        <f ca="1">IF(ISNA(MATCH(25,DATA_1!A2:A40,0)),"",IF(INDIRECT("DATA_1!C"&amp;(MATCH(25,DATA_1!A2:A40,0))+1)=999.99,"OFF",INDIRECT("DATA_1!C"&amp;(MATCH(25,DATA_1!A2:A40,0))+1)))</f>
        <v>OFF</v>
      </c>
      <c r="C29" s="18" t="str">
        <f ca="1">IF(ISNA(MATCH(25,DATA_1!A2:A40,0)),"",IF(INDIRECT("DATA_1!D"&amp;(MATCH(25,DATA_1!A2:A40,0))+1)=999.99,"OFF",INDIRECT("DATA_1!D"&amp;(MATCH(25,DATA_1!A2:A40,0))+1)))</f>
        <v>OFF</v>
      </c>
      <c r="D29" s="18">
        <v>0.02</v>
      </c>
      <c r="E29" s="59">
        <v>0.02</v>
      </c>
      <c r="F29" s="20" t="str">
        <f ca="1">IF(ISNA(MATCH(25,DATA_1!A2:A40,0)),"",IF(INDIRECT("DATA_1!G"&amp;(MATCH(25,DATA_1!A2:A40,0))+1)=999.99,"OFF",INDIRECT("DATA_1!G"&amp;(MATCH(25,DATA_1!A2:A40,0))+1)))</f>
        <v>OFF</v>
      </c>
      <c r="G29" s="64" t="str">
        <f ca="1">IF(ISNA(MATCH(25,DATA_1!A2:A40,0)),"",IF(INDIRECT("DATA_1!H"&amp;(MATCH(25,DATA_1!A2:A40,0))+1)=999.99,"OFF",INDIRECT("DATA_1!H"&amp;(MATCH(25,DATA_1!A2:A40,0))+1)))</f>
        <v>OFF</v>
      </c>
      <c r="H29" s="103">
        <v>0.02</v>
      </c>
      <c r="I29" s="104"/>
    </row>
    <row r="30" spans="1:9" ht="22.35" customHeight="1" thickTop="1" thickBot="1" x14ac:dyDescent="0.25">
      <c r="A30" s="41">
        <v>26</v>
      </c>
      <c r="B30" s="53" t="str">
        <f ca="1">IF(ISNA(MATCH(26,DATA_1!A2:A40,0)),"",IF(INDIRECT("DATA_1!C"&amp;(MATCH(26,DATA_1!A2:A40,0))+1)=999.99,"OFF",INDIRECT("DATA_1!C"&amp;(MATCH(26,DATA_1!A2:A40,0))+1)))</f>
        <v>OFF</v>
      </c>
      <c r="C30" s="18" t="str">
        <f ca="1">IF(ISNA(MATCH(26,DATA_1!A2:A40,0)),"",IF(INDIRECT("DATA_1!D"&amp;(MATCH(26,DATA_1!A2:A40,0))+1)=999.99,"OFF",INDIRECT("DATA_1!D"&amp;(MATCH(26,DATA_1!A2:A40,0))+1)))</f>
        <v>OFF</v>
      </c>
      <c r="D30" s="18">
        <v>0.02</v>
      </c>
      <c r="E30" s="59" t="str">
        <f ca="1">IF(ISNA(MATCH(26,DATA_1!A2:A40,0)),"",IF(INDIRECT("DATA_1!F"&amp;(MATCH(26,DATA_1!A2:A40,0))+1)=999.99,"OFF",INDIRECT("DATA_1!F"&amp;(MATCH(26,DATA_1!A2:A40,0))+1)))</f>
        <v>OFF</v>
      </c>
      <c r="F30" s="20" t="str">
        <f ca="1">IF(ISNA(MATCH(26,DATA_1!A2:A40,0)),"",IF(INDIRECT("DATA_1!G"&amp;(MATCH(26,DATA_1!A2:A40,0))+1)=999.99,"OFF",INDIRECT("DATA_1!G"&amp;(MATCH(26,DATA_1!A2:A40,0))+1)))</f>
        <v>OFF</v>
      </c>
      <c r="G30" s="64" t="str">
        <f ca="1">IF(ISNA(MATCH(26,DATA_1!A2:A40,0)),"",IF(INDIRECT("DATA_1!H"&amp;(MATCH(26,DATA_1!A2:A40,0))+1)=999.99,"OFF",INDIRECT("DATA_1!H"&amp;(MATCH(26,DATA_1!A2:A40,0))+1)))</f>
        <v>OFF</v>
      </c>
      <c r="H30" s="103">
        <v>0.02</v>
      </c>
      <c r="I30" s="104"/>
    </row>
    <row r="31" spans="1:9" ht="22.35" customHeight="1" thickTop="1" thickBot="1" x14ac:dyDescent="0.25">
      <c r="A31" s="41">
        <v>27</v>
      </c>
      <c r="B31" s="53">
        <v>0.02</v>
      </c>
      <c r="C31" s="18" t="str">
        <f ca="1">IF(ISNA(MATCH(27,DATA_1!A2:A40,0)),"",IF(INDIRECT("DATA_1!D"&amp;(MATCH(27,DATA_1!A2:A40,0))+1)=999.99,"OFF",INDIRECT("DATA_1!D"&amp;(MATCH(27,DATA_1!A2:A40,0))+1)))</f>
        <v>OFF</v>
      </c>
      <c r="D31" s="18" t="str">
        <f ca="1">IF(ISNA(MATCH(27,DATA_1!A2:A40,0)),"",IF(INDIRECT("DATA_1!E"&amp;(MATCH(27,DATA_1!A2:A40,0))+1)=999.99,"OFF",INDIRECT("DATA_1!E"&amp;(MATCH(27,DATA_1!A2:A40,0))+1)))</f>
        <v>OFF</v>
      </c>
      <c r="E31" s="59">
        <v>0.02</v>
      </c>
      <c r="F31" s="20">
        <f ca="1">IF(ISNA(MATCH(27,DATA_1!A2:A40,0)),"",IF(INDIRECT("DATA_1!G"&amp;(MATCH(27,DATA_1!A2:A40,0))+1)=999.99,"OFF",INDIRECT("DATA_1!G"&amp;(MATCH(27,DATA_1!A2:A40,0))+1)))</f>
        <v>2.590723E-2</v>
      </c>
      <c r="G31" s="64">
        <f ca="1">IF(ISNA(MATCH(27,DATA_1!A2:A40,0)),"",IF(INDIRECT("DATA_1!H"&amp;(MATCH(27,DATA_1!A2:A40,0))+1)=999.99,"OFF",INDIRECT("DATA_1!H"&amp;(MATCH(27,DATA_1!A2:A40,0))+1)))</f>
        <v>2.8243069999999999E-2</v>
      </c>
      <c r="H31" s="103">
        <v>0.03</v>
      </c>
      <c r="I31" s="104"/>
    </row>
    <row r="32" spans="1:9" ht="22.35" customHeight="1" thickTop="1" thickBot="1" x14ac:dyDescent="0.25">
      <c r="A32" s="41">
        <v>28</v>
      </c>
      <c r="B32" s="53" t="s">
        <v>13</v>
      </c>
      <c r="C32" s="18" t="s">
        <v>13</v>
      </c>
      <c r="D32" s="18">
        <v>0.02</v>
      </c>
      <c r="E32" s="59">
        <v>0.02</v>
      </c>
      <c r="F32" s="20" t="s">
        <v>13</v>
      </c>
      <c r="G32" s="64" t="s">
        <v>13</v>
      </c>
      <c r="H32" s="103">
        <v>0.02</v>
      </c>
      <c r="I32" s="104"/>
    </row>
    <row r="33" spans="1:9" ht="22.35" customHeight="1" thickTop="1" thickBot="1" x14ac:dyDescent="0.25">
      <c r="A33" s="41">
        <v>29</v>
      </c>
      <c r="B33" s="53" t="str">
        <f ca="1">IF(ISNA(MATCH(29,DATA_1!A2:A40,0)),"",IF(INDIRECT("DATA_1!C"&amp;(MATCH(29,DATA_1!A2:A40,0))+1)=999.99,"OFF",INDIRECT("DATA_1!C"&amp;(MATCH(29,DATA_1!A2:A40,0))+1)))</f>
        <v>OFF</v>
      </c>
      <c r="C33" s="18" t="str">
        <f ca="1">IF(ISNA(MATCH(29,DATA_1!A2:A40,0)),"",IF(INDIRECT("DATA_1!D"&amp;(MATCH(29,DATA_1!A2:A40,0))+1)=999.99,"OFF",INDIRECT("DATA_1!D"&amp;(MATCH(29,DATA_1!A2:A40,0))+1)))</f>
        <v>OFF</v>
      </c>
      <c r="D33" s="18">
        <v>0.02</v>
      </c>
      <c r="E33" s="59" t="str">
        <f ca="1">IF(ISNA(MATCH(29,DATA_1!A2:A40,0)),"",IF(INDIRECT("DATA_1!F"&amp;(MATCH(29,DATA_1!A2:A40,0))+1)=999.99,"OFF",INDIRECT("DATA_1!F"&amp;(MATCH(29,DATA_1!A2:A40,0))+1)))</f>
        <v>OFF</v>
      </c>
      <c r="F33" s="20" t="str">
        <f ca="1">IF(ISNA(MATCH(29,DATA_1!A2:A40,0)),"",IF(INDIRECT("DATA_1!G"&amp;(MATCH(29,DATA_1!A2:A40,0))+1)=999.99,"OFF",INDIRECT("DATA_1!G"&amp;(MATCH(29,DATA_1!A2:A40,0))+1)))</f>
        <v>OFF</v>
      </c>
      <c r="G33" s="64" t="str">
        <f ca="1">IF(ISNA(MATCH(29,DATA_1!A2:A40,0)),"",IF(INDIRECT("DATA_1!H"&amp;(MATCH(29,DATA_1!A2:A40,0))+1)=999.99,"OFF",INDIRECT("DATA_1!H"&amp;(MATCH(29,DATA_1!A2:A40,0))+1)))</f>
        <v>OFF</v>
      </c>
      <c r="H33" s="103">
        <v>0.02</v>
      </c>
      <c r="I33" s="104"/>
    </row>
    <row r="34" spans="1:9" ht="22.35" customHeight="1" thickTop="1" thickBot="1" x14ac:dyDescent="0.25">
      <c r="A34" s="41">
        <v>30</v>
      </c>
      <c r="B34" s="53">
        <v>0.02</v>
      </c>
      <c r="C34" s="18" t="str">
        <f ca="1">IF(ISNA(MATCH(30,DATA_1!A2:A40,0)),"",IF(INDIRECT("DATA_1!D"&amp;(MATCH(30,DATA_1!A2:A40,0))+1)=999.99,"OFF",INDIRECT("DATA_1!D"&amp;(MATCH(30,DATA_1!A2:A40,0))+1)))</f>
        <v>OFF</v>
      </c>
      <c r="D34" s="18" t="str">
        <f ca="1">IF(ISNA(MATCH(30,DATA_1!A2:A40,0)),"",IF(INDIRECT("DATA_1!E"&amp;(MATCH(30,DATA_1!A2:A40,0))+1)=999.99,"OFF",INDIRECT("DATA_1!E"&amp;(MATCH(30,DATA_1!A2:A40,0))+1)))</f>
        <v>OFF</v>
      </c>
      <c r="E34" s="59">
        <v>0.02</v>
      </c>
      <c r="F34" s="20">
        <v>0.02</v>
      </c>
      <c r="G34" s="64">
        <v>0.02</v>
      </c>
      <c r="H34" s="103">
        <v>0.02</v>
      </c>
      <c r="I34" s="104"/>
    </row>
    <row r="35" spans="1:9" ht="22.35" customHeight="1" thickTop="1" thickBot="1" x14ac:dyDescent="0.25">
      <c r="A35" s="92">
        <v>31</v>
      </c>
      <c r="B35" s="53" t="str">
        <f ca="1">IF(ISNA(MATCH(31,DATA_1!A2:A40,0)),"",IF(INDIRECT("DATA_1!C"&amp;(MATCH(31,DATA_1!A2:A40,0))+1)=999.99,"OFF",INDIRECT("DATA_1!C"&amp;(MATCH(31,DATA_1!A2:A40,0))+1)))</f>
        <v>OFF</v>
      </c>
      <c r="C35" s="18" t="str">
        <f ca="1">IF(ISNA(MATCH(31,DATA_1!A2:A40,0)),"",IF(INDIRECT("DATA_1!D"&amp;(MATCH(31,DATA_1!A2:A40,0))+1)=999.99,"OFF",INDIRECT("DATA_1!D"&amp;(MATCH(31,DATA_1!A2:A40,0))+1)))</f>
        <v>OFF</v>
      </c>
      <c r="D35" s="18">
        <v>0.02</v>
      </c>
      <c r="E35" s="59">
        <v>0.02</v>
      </c>
      <c r="F35" s="20">
        <v>0.02</v>
      </c>
      <c r="G35" s="64" t="str">
        <f ca="1">IF(ISNA(MATCH(31,DATA_1!A2:A40,0)),"",IF(INDIRECT("DATA_1!H"&amp;(MATCH(31,DATA_1!A2:A40,0))+1)=999.99,"OFF",INDIRECT("DATA_1!H"&amp;(MATCH(31,DATA_1!A2:A40,0))+1)))</f>
        <v>OFF</v>
      </c>
      <c r="H35" s="105">
        <v>0.02</v>
      </c>
      <c r="I35" s="106"/>
    </row>
    <row r="36" spans="1:9" s="15" customFormat="1" ht="20.85" customHeight="1" thickTop="1" thickBot="1" x14ac:dyDescent="0.3">
      <c r="A36" s="107" t="s">
        <v>3</v>
      </c>
      <c r="B36" s="108"/>
      <c r="C36" s="109"/>
      <c r="D36" s="109"/>
      <c r="E36" s="110"/>
      <c r="F36" s="111" t="s">
        <v>7</v>
      </c>
      <c r="G36" s="112"/>
      <c r="H36" s="112"/>
      <c r="I36" s="113"/>
    </row>
    <row r="37" spans="1:9" s="78" customFormat="1" ht="36.950000000000003" customHeight="1" thickTop="1" x14ac:dyDescent="0.2">
      <c r="A37" s="114" t="s">
        <v>25</v>
      </c>
      <c r="B37" s="115"/>
      <c r="C37" s="115"/>
      <c r="D37" s="115"/>
      <c r="E37" s="27" t="s">
        <v>77</v>
      </c>
      <c r="F37" s="116" t="s">
        <v>71</v>
      </c>
      <c r="G37" s="116"/>
      <c r="H37" s="116" t="s">
        <v>35</v>
      </c>
      <c r="I37" s="116"/>
    </row>
    <row r="38" spans="1:9" s="78" customFormat="1" ht="15" x14ac:dyDescent="0.2">
      <c r="A38" s="117" t="s">
        <v>54</v>
      </c>
      <c r="B38" s="118"/>
      <c r="C38" s="118"/>
      <c r="D38" s="118"/>
      <c r="E38" s="70" t="s">
        <v>77</v>
      </c>
      <c r="F38" s="119" t="s">
        <v>77</v>
      </c>
      <c r="G38" s="120"/>
      <c r="H38" s="119" t="s">
        <v>77</v>
      </c>
      <c r="I38" s="123"/>
    </row>
    <row r="39" spans="1:9" s="78" customFormat="1" ht="22.5" customHeight="1" thickBot="1" x14ac:dyDescent="0.25">
      <c r="A39" s="125" t="s">
        <v>46</v>
      </c>
      <c r="B39" s="126"/>
      <c r="C39" s="126"/>
      <c r="D39" s="126"/>
      <c r="E39" s="44" t="s">
        <v>77</v>
      </c>
      <c r="F39" s="121"/>
      <c r="G39" s="122"/>
      <c r="H39" s="121"/>
      <c r="I39" s="124"/>
    </row>
    <row r="40" spans="1:9" s="15" customFormat="1" ht="20.25" customHeight="1" thickTop="1" thickBot="1" x14ac:dyDescent="0.3">
      <c r="A40" s="130" t="s">
        <v>17</v>
      </c>
      <c r="B40" s="131"/>
      <c r="C40" s="131"/>
      <c r="D40" s="131"/>
      <c r="E40" s="132"/>
      <c r="F40" s="127" t="s">
        <v>78</v>
      </c>
      <c r="G40" s="128"/>
      <c r="H40" s="128"/>
      <c r="I40" s="129"/>
    </row>
    <row r="41" spans="1:9" s="15" customFormat="1" ht="20.25" customHeight="1" thickTop="1" thickBot="1" x14ac:dyDescent="0.3">
      <c r="A41" s="130"/>
      <c r="B41" s="133"/>
      <c r="C41" s="133"/>
      <c r="D41" s="133"/>
      <c r="E41" s="132"/>
      <c r="F41" s="127" t="s">
        <v>79</v>
      </c>
      <c r="G41" s="128"/>
      <c r="H41" s="129"/>
      <c r="I41" s="54" t="s">
        <v>81</v>
      </c>
    </row>
    <row r="42" spans="1:9" s="15" customFormat="1" ht="21" customHeight="1" thickTop="1" thickBot="1" x14ac:dyDescent="0.3">
      <c r="A42" s="134"/>
      <c r="B42" s="135"/>
      <c r="C42" s="135"/>
      <c r="D42" s="135"/>
      <c r="E42" s="136"/>
      <c r="F42" s="127" t="s">
        <v>80</v>
      </c>
      <c r="G42" s="128"/>
      <c r="H42" s="129"/>
      <c r="I42" s="54" t="s">
        <v>82</v>
      </c>
    </row>
    <row r="43" spans="1:9" s="68" customFormat="1" ht="14.25" customHeight="1" thickTop="1" x14ac:dyDescent="0.2">
      <c r="A43" s="141" t="s">
        <v>72</v>
      </c>
      <c r="B43" s="141"/>
      <c r="C43" s="141"/>
      <c r="D43" s="141"/>
      <c r="E43" s="141"/>
      <c r="F43" s="141"/>
      <c r="G43" s="141"/>
      <c r="H43" s="141"/>
      <c r="I43" s="141"/>
    </row>
    <row r="44" spans="1:9" s="68" customFormat="1" ht="18.75" customHeight="1" x14ac:dyDescent="0.2">
      <c r="A44" s="142" t="s">
        <v>49</v>
      </c>
      <c r="B44" s="142"/>
      <c r="C44" s="142"/>
      <c r="D44" s="142"/>
      <c r="E44" s="142"/>
      <c r="F44" s="142"/>
      <c r="G44" s="142"/>
      <c r="H44" s="142"/>
      <c r="I44" s="142"/>
    </row>
    <row r="45" spans="1:9" ht="12.75" customHeight="1" x14ac:dyDescent="0.2">
      <c r="A45" s="140" t="s">
        <v>51</v>
      </c>
      <c r="B45" s="140"/>
      <c r="C45" s="140"/>
      <c r="D45" s="140"/>
      <c r="E45" s="140"/>
      <c r="F45" s="140"/>
      <c r="G45" s="140"/>
      <c r="H45" s="140"/>
      <c r="I45" s="140"/>
    </row>
    <row r="46" spans="1:9" ht="21" customHeight="1" x14ac:dyDescent="0.2">
      <c r="A46" s="143" t="s">
        <v>33</v>
      </c>
      <c r="B46" s="143"/>
      <c r="C46" s="143"/>
      <c r="D46" s="143"/>
      <c r="E46" s="143"/>
      <c r="F46" s="143"/>
      <c r="G46" s="143"/>
      <c r="H46" s="37" t="s">
        <v>34</v>
      </c>
      <c r="I46" s="28" t="s">
        <v>76</v>
      </c>
    </row>
    <row r="47" spans="1:9" ht="25.5" x14ac:dyDescent="0.2">
      <c r="A47" s="19" t="s">
        <v>16</v>
      </c>
      <c r="B47" s="96" t="s">
        <v>73</v>
      </c>
      <c r="C47" s="96"/>
      <c r="D47" s="14" t="s">
        <v>56</v>
      </c>
      <c r="E47" s="62"/>
      <c r="F47" s="14" t="s">
        <v>24</v>
      </c>
      <c r="G47" s="14" t="s">
        <v>42</v>
      </c>
      <c r="H47" s="88" t="s">
        <v>9</v>
      </c>
      <c r="I47" s="84">
        <v>0.5</v>
      </c>
    </row>
    <row r="48" spans="1:9" x14ac:dyDescent="0.2">
      <c r="A48" s="82"/>
      <c r="B48" s="3"/>
      <c r="C48" s="3"/>
      <c r="D48" s="3"/>
      <c r="E48" s="3"/>
      <c r="F48" s="3"/>
      <c r="G48" s="3"/>
      <c r="H48" s="3"/>
      <c r="I48" s="81"/>
    </row>
    <row r="49" spans="1:9" ht="48.6" customHeight="1" x14ac:dyDescent="0.2">
      <c r="A49" s="34" t="s">
        <v>44</v>
      </c>
      <c r="B49" s="46" t="s">
        <v>0</v>
      </c>
      <c r="C49" s="9" t="s">
        <v>18</v>
      </c>
      <c r="D49" s="9" t="s">
        <v>38</v>
      </c>
      <c r="E49" s="9" t="s">
        <v>11</v>
      </c>
      <c r="F49" s="9" t="s">
        <v>64</v>
      </c>
      <c r="G49" s="9" t="s">
        <v>15</v>
      </c>
      <c r="H49" s="9" t="s">
        <v>39</v>
      </c>
      <c r="I49" s="48" t="s">
        <v>47</v>
      </c>
    </row>
    <row r="50" spans="1:9" ht="15.75" thickBot="1" x14ac:dyDescent="0.25">
      <c r="A50" s="76"/>
      <c r="B50" s="10" t="s">
        <v>62</v>
      </c>
      <c r="C50" s="10" t="s">
        <v>8</v>
      </c>
      <c r="D50" s="50" t="s">
        <v>65</v>
      </c>
      <c r="E50" s="10" t="s">
        <v>48</v>
      </c>
      <c r="F50" s="10"/>
      <c r="G50" s="10" t="s">
        <v>61</v>
      </c>
      <c r="H50" s="10" t="s">
        <v>68</v>
      </c>
      <c r="I50" s="66" t="s">
        <v>52</v>
      </c>
    </row>
    <row r="51" spans="1:9" ht="24.95" customHeight="1" thickTop="1" thickBot="1" x14ac:dyDescent="0.25">
      <c r="A51" s="16" t="str">
        <f ca="1">IF(ISNA(MATCH(1,DATA_1!A2:A40,0)),"1","1 / " &amp; (INDIRECT("DATA_1!R"&amp;(MATCH(1,DATA_1!A2:A40,0))+1)) &amp; ":00")</f>
        <v>1 / 8:00</v>
      </c>
      <c r="B51" s="42">
        <v>0.88</v>
      </c>
      <c r="C51" s="4">
        <v>111</v>
      </c>
      <c r="D51" s="60">
        <f t="shared" ref="D51:D81" si="0">IF(B51="","",B51*C51)</f>
        <v>97.68</v>
      </c>
      <c r="E51" s="52">
        <v>9.5</v>
      </c>
      <c r="F51" s="20">
        <v>7.79</v>
      </c>
      <c r="G51" s="58">
        <f t="shared" ref="G51:G81" si="1">IF(B51="","",IF(E51&lt;12.5,(0.353*$I$47)*(12.006+EXP(2.46-0.073*E51+0.125*B51+0.389*F51)),(0.361*$I$47)*(-2.261+EXP(2.69-0.065*E51+0.111*B51+0.361*F51))))</f>
        <v>25.983167585713137</v>
      </c>
      <c r="H51" s="51" t="str">
        <f t="shared" ref="H51:H81" si="2">IF(D51&gt;G51,"YES","NO")</f>
        <v>YES</v>
      </c>
      <c r="I51" s="67">
        <v>826</v>
      </c>
    </row>
    <row r="52" spans="1:9" ht="24.95" customHeight="1" thickTop="1" thickBot="1" x14ac:dyDescent="0.25">
      <c r="A52" s="16" t="str">
        <f ca="1">IF(ISNA(MATCH(2,DATA_1!A2:A40,0)),"2","2 / " &amp; (INDIRECT("DATA_1!R"&amp;(MATCH(2,DATA_1!A2:A40,0))+1)) &amp; ":00")</f>
        <v>2 / 16:00</v>
      </c>
      <c r="B52" s="42">
        <f ca="1">IF(ISNA(MATCH(2,DATA_1!A2:A40,0)),"",INDIRECT("DATA_1!T"&amp;(MATCH(2,DATA_1!A2:A40,0))+1))</f>
        <v>0.86</v>
      </c>
      <c r="C52" s="6">
        <v>111</v>
      </c>
      <c r="D52" s="56">
        <f t="shared" ca="1" si="0"/>
        <v>95.46</v>
      </c>
      <c r="E52" s="45">
        <v>9.5</v>
      </c>
      <c r="F52" s="47">
        <v>7.68</v>
      </c>
      <c r="G52" s="58">
        <f t="shared" ca="1" si="1"/>
        <v>24.92647160533345</v>
      </c>
      <c r="H52" s="26" t="str">
        <f t="shared" ca="1" si="2"/>
        <v>YES</v>
      </c>
      <c r="I52" s="29">
        <v>787</v>
      </c>
    </row>
    <row r="53" spans="1:9" ht="24.95" customHeight="1" thickTop="1" thickBot="1" x14ac:dyDescent="0.25">
      <c r="A53" s="16" t="s">
        <v>22</v>
      </c>
      <c r="B53" s="42">
        <f ca="1">IF(ISNA(MATCH(3,DATA_1!A2:A40,0)),"",INDIRECT("DATA_1!T"&amp;(MATCH(3,DATA_1!A2:A40,0))+1))</f>
        <v>0.83</v>
      </c>
      <c r="C53" s="6">
        <v>111</v>
      </c>
      <c r="D53" s="56">
        <f t="shared" ca="1" si="0"/>
        <v>92.13</v>
      </c>
      <c r="E53" s="45">
        <v>9.5</v>
      </c>
      <c r="F53" s="47">
        <v>7.61</v>
      </c>
      <c r="G53" s="58">
        <f t="shared" ca="1" si="1"/>
        <v>24.23073063494742</v>
      </c>
      <c r="H53" s="26" t="str">
        <f t="shared" ca="1" si="2"/>
        <v>YES</v>
      </c>
      <c r="I53" s="29">
        <v>783</v>
      </c>
    </row>
    <row r="54" spans="1:9" ht="24.95" customHeight="1" thickTop="1" thickBot="1" x14ac:dyDescent="0.25">
      <c r="A54" s="16" t="str">
        <f ca="1">IF(ISNA(MATCH(4,DATA_1!A2:A40,0)),"4","4 / " &amp; (INDIRECT("DATA_1!R"&amp;(MATCH(4,DATA_1!A2:A40,0))+1)) &amp; ":00")</f>
        <v>4 / 12:00</v>
      </c>
      <c r="B54" s="42">
        <f ca="1">IF(ISNA(MATCH(4,DATA_1!A2:A40,0)),"",INDIRECT("DATA_1!T"&amp;(MATCH(4,DATA_1!A2:A40,0))+1))</f>
        <v>0.82</v>
      </c>
      <c r="C54" s="6">
        <v>111</v>
      </c>
      <c r="D54" s="56">
        <f t="shared" ca="1" si="0"/>
        <v>91.02</v>
      </c>
      <c r="E54" s="45">
        <v>9.5</v>
      </c>
      <c r="F54" s="47">
        <v>7.52</v>
      </c>
      <c r="G54" s="58">
        <f t="shared" ca="1" si="1"/>
        <v>23.443323385775219</v>
      </c>
      <c r="H54" s="26" t="str">
        <f t="shared" ca="1" si="2"/>
        <v>YES</v>
      </c>
      <c r="I54" s="29">
        <v>793</v>
      </c>
    </row>
    <row r="55" spans="1:9" ht="24.95" customHeight="1" thickTop="1" thickBot="1" x14ac:dyDescent="0.25">
      <c r="A55" s="16" t="str">
        <f ca="1">IF(ISNA(MATCH(5,DATA_1!A2:A40,0)),"5","5 / " &amp; (INDIRECT("DATA_1!R"&amp;(MATCH(5,DATA_1!A2:A40,0))+1)) &amp; ":00")</f>
        <v>5 / 8:00</v>
      </c>
      <c r="B55" s="42">
        <f ca="1">IF(ISNA(MATCH(5,DATA_1!A2:A40,0)),"",INDIRECT("DATA_1!T"&amp;(MATCH(5,DATA_1!A2:A40,0))+1))</f>
        <v>0.8</v>
      </c>
      <c r="C55" s="6">
        <v>111</v>
      </c>
      <c r="D55" s="56">
        <f t="shared" ca="1" si="0"/>
        <v>88.800000000000011</v>
      </c>
      <c r="E55" s="45">
        <v>9.3000000000000007</v>
      </c>
      <c r="F55" s="47">
        <v>7.54</v>
      </c>
      <c r="G55" s="58">
        <f t="shared" ca="1" si="1"/>
        <v>23.871491652910581</v>
      </c>
      <c r="H55" s="26" t="str">
        <f t="shared" ca="1" si="2"/>
        <v>YES</v>
      </c>
      <c r="I55" s="29">
        <v>785</v>
      </c>
    </row>
    <row r="56" spans="1:9" ht="24.95" customHeight="1" thickTop="1" thickBot="1" x14ac:dyDescent="0.25">
      <c r="A56" s="16" t="str">
        <f ca="1">IF(ISNA(MATCH(6,DATA_1!A2:A40,0)),"6","6 / " &amp; (INDIRECT("DATA_1!R"&amp;(MATCH(6,DATA_1!A2:A40,0))+1)) &amp; ":00")</f>
        <v>6 / 8:00</v>
      </c>
      <c r="B56" s="42">
        <v>0.77</v>
      </c>
      <c r="C56" s="4">
        <v>111</v>
      </c>
      <c r="D56" s="56">
        <f t="shared" si="0"/>
        <v>85.47</v>
      </c>
      <c r="E56" s="45">
        <v>9.1999999999999993</v>
      </c>
      <c r="F56" s="47">
        <v>7.43</v>
      </c>
      <c r="G56" s="58">
        <f t="shared" si="1"/>
        <v>23.034456231848047</v>
      </c>
      <c r="H56" s="26" t="str">
        <f t="shared" si="2"/>
        <v>YES</v>
      </c>
      <c r="I56" s="29">
        <v>789</v>
      </c>
    </row>
    <row r="57" spans="1:9" ht="24.95" customHeight="1" thickTop="1" thickBot="1" x14ac:dyDescent="0.25">
      <c r="A57" s="16" t="str">
        <f ca="1">IF(ISNA(MATCH(7,DATA_1!A2:A40,0)),"7","7 / " &amp; (INDIRECT("DATA_1!R"&amp;(MATCH(7,DATA_1!A2:A40,0))+1)) &amp; ":00")</f>
        <v>7 / 8:00</v>
      </c>
      <c r="B57" s="42">
        <f ca="1">IF(ISNA(MATCH(7,DATA_1!A2:A40,0)),"",INDIRECT("DATA_1!T"&amp;(MATCH(7,DATA_1!A2:A40,0))+1))</f>
        <v>0.77</v>
      </c>
      <c r="C57" s="6">
        <v>111</v>
      </c>
      <c r="D57" s="56">
        <f t="shared" ca="1" si="0"/>
        <v>85.47</v>
      </c>
      <c r="E57" s="45">
        <v>9.1</v>
      </c>
      <c r="F57" s="47">
        <v>7.49</v>
      </c>
      <c r="G57" s="58">
        <f t="shared" ca="1" si="1"/>
        <v>23.685222836043462</v>
      </c>
      <c r="H57" s="26" t="str">
        <f t="shared" ca="1" si="2"/>
        <v>YES</v>
      </c>
      <c r="I57" s="29">
        <v>829</v>
      </c>
    </row>
    <row r="58" spans="1:9" ht="24.95" customHeight="1" thickTop="1" thickBot="1" x14ac:dyDescent="0.25">
      <c r="A58" s="16" t="str">
        <f ca="1">IF(ISNA(MATCH(8,DATA_1!A2:A40,0)),"8","8 / " &amp; (INDIRECT("DATA_1!R"&amp;(MATCH(8,DATA_1!A2:A40,0))+1)) &amp; ":00")</f>
        <v>8 / 8:00</v>
      </c>
      <c r="B58" s="42">
        <v>0.75</v>
      </c>
      <c r="C58" s="6">
        <v>111</v>
      </c>
      <c r="D58" s="56">
        <f t="shared" si="0"/>
        <v>83.25</v>
      </c>
      <c r="E58" s="45">
        <v>9</v>
      </c>
      <c r="F58" s="47">
        <v>7.44</v>
      </c>
      <c r="G58" s="58">
        <f t="shared" si="1"/>
        <v>23.371581567655738</v>
      </c>
      <c r="H58" s="26" t="str">
        <f t="shared" si="2"/>
        <v>YES</v>
      </c>
      <c r="I58" s="29">
        <v>824</v>
      </c>
    </row>
    <row r="59" spans="1:9" ht="24.95" customHeight="1" thickTop="1" thickBot="1" x14ac:dyDescent="0.25">
      <c r="A59" s="16" t="str">
        <f ca="1">IF(ISNA(MATCH(9,DATA_1!A2:A40,0)),"9","9 / " &amp; (INDIRECT("DATA_1!R"&amp;(MATCH(9,DATA_1!A2:A40,0))+1)) &amp; ":00")</f>
        <v>9 / 12:00</v>
      </c>
      <c r="B59" s="42">
        <v>0.75</v>
      </c>
      <c r="C59" s="6">
        <v>111</v>
      </c>
      <c r="D59" s="56">
        <f t="shared" si="0"/>
        <v>83.25</v>
      </c>
      <c r="E59" s="45">
        <v>9</v>
      </c>
      <c r="F59" s="47">
        <v>7.35</v>
      </c>
      <c r="G59" s="58">
        <f t="shared" si="1"/>
        <v>22.640404685981618</v>
      </c>
      <c r="H59" s="26" t="str">
        <f t="shared" si="2"/>
        <v>YES</v>
      </c>
      <c r="I59" s="29">
        <v>828</v>
      </c>
    </row>
    <row r="60" spans="1:9" ht="24.95" customHeight="1" thickTop="1" thickBot="1" x14ac:dyDescent="0.25">
      <c r="A60" s="16" t="str">
        <f ca="1">IF(ISNA(MATCH(10,DATA_1!A2:A40,0)),"10","10 / " &amp; (INDIRECT("DATA_1!R"&amp;(MATCH(10,DATA_1!A2:A40,0))+1)) &amp; ":00")</f>
        <v>10 / 8:00</v>
      </c>
      <c r="B60" s="42">
        <f ca="1">IF(ISNA(MATCH(10,DATA_1!A2:A40,0)),"",INDIRECT("DATA_1!T"&amp;(MATCH(10,DATA_1!A2:A40,0))+1))</f>
        <v>0.74</v>
      </c>
      <c r="C60" s="6">
        <v>111</v>
      </c>
      <c r="D60" s="56">
        <f t="shared" ca="1" si="0"/>
        <v>82.14</v>
      </c>
      <c r="E60" s="45">
        <v>9</v>
      </c>
      <c r="F60" s="47">
        <v>7.31</v>
      </c>
      <c r="G60" s="58">
        <f t="shared" ca="1" si="1"/>
        <v>22.298324107540431</v>
      </c>
      <c r="H60" s="26" t="str">
        <f t="shared" ca="1" si="2"/>
        <v>YES</v>
      </c>
      <c r="I60" s="29">
        <v>830</v>
      </c>
    </row>
    <row r="61" spans="1:9" ht="24.95" customHeight="1" thickTop="1" thickBot="1" x14ac:dyDescent="0.25">
      <c r="A61" s="16" t="str">
        <f ca="1">IF(ISNA(MATCH(11,DATA_1!A2:A40,0)),"11","11 / " &amp; (INDIRECT("DATA_1!R"&amp;(MATCH(11,DATA_1!A2:A40,0))+1)) &amp; ":00")</f>
        <v>11 / 8:00</v>
      </c>
      <c r="B61" s="42">
        <f ca="1">IF(ISNA(MATCH(11,DATA_1!A2:A40,0)),"",INDIRECT("DATA_1!T"&amp;(MATCH(11,DATA_1!A2:A40,0))+1))</f>
        <v>0.72</v>
      </c>
      <c r="C61" s="4">
        <v>111</v>
      </c>
      <c r="D61" s="56">
        <f t="shared" ca="1" si="0"/>
        <v>79.92</v>
      </c>
      <c r="E61" s="45">
        <v>9</v>
      </c>
      <c r="F61" s="47">
        <v>7.3</v>
      </c>
      <c r="G61" s="58">
        <f t="shared" ca="1" si="1"/>
        <v>22.169789708269416</v>
      </c>
      <c r="H61" s="26" t="str">
        <f t="shared" ca="1" si="2"/>
        <v>YES</v>
      </c>
      <c r="I61" s="29">
        <v>783</v>
      </c>
    </row>
    <row r="62" spans="1:9" ht="24.95" customHeight="1" thickTop="1" thickBot="1" x14ac:dyDescent="0.25">
      <c r="A62" s="16" t="str">
        <f ca="1">IF(ISNA(MATCH(12,DATA_1!A2:A40,0)),"12","12 / " &amp; (INDIRECT("DATA_1!R"&amp;(MATCH(12,DATA_1!A2:A40,0))+1)) &amp; ":00")</f>
        <v>12 / 8:00</v>
      </c>
      <c r="B62" s="42">
        <f ca="1">IF(ISNA(MATCH(12,DATA_1!A2:A40,0)),"",INDIRECT("DATA_1!T"&amp;(MATCH(12,DATA_1!A2:A40,0))+1))</f>
        <v>0.71</v>
      </c>
      <c r="C62" s="6">
        <v>111</v>
      </c>
      <c r="D62" s="56">
        <f t="shared" ca="1" si="0"/>
        <v>78.81</v>
      </c>
      <c r="E62" s="45">
        <v>9.1</v>
      </c>
      <c r="F62" s="47">
        <v>7.44</v>
      </c>
      <c r="G62" s="58">
        <f t="shared" ca="1" si="1"/>
        <v>23.111776616008871</v>
      </c>
      <c r="H62" s="26" t="str">
        <f t="shared" ca="1" si="2"/>
        <v>YES</v>
      </c>
      <c r="I62" s="29">
        <v>780</v>
      </c>
    </row>
    <row r="63" spans="1:9" ht="24.95" customHeight="1" thickTop="1" thickBot="1" x14ac:dyDescent="0.25">
      <c r="A63" s="16" t="str">
        <f ca="1">IF(ISNA(MATCH(13,DATA_1!A2:A40,0)),"13","13 / " &amp; (INDIRECT("DATA_1!R"&amp;(MATCH(13,DATA_1!A2:A40,0))+1)) &amp; ":00")</f>
        <v>13 / 8:00</v>
      </c>
      <c r="B63" s="42">
        <f ca="1">IF(ISNA(MATCH(13,DATA_1!A2:A40,0)),"",INDIRECT("DATA_1!T"&amp;(MATCH(13,DATA_1!A2:A40,0))+1))</f>
        <v>0.71</v>
      </c>
      <c r="C63" s="6">
        <v>111</v>
      </c>
      <c r="D63" s="56">
        <f t="shared" ca="1" si="0"/>
        <v>78.81</v>
      </c>
      <c r="E63" s="45">
        <v>9.1</v>
      </c>
      <c r="F63" s="47">
        <v>7.42</v>
      </c>
      <c r="G63" s="58">
        <f t="shared" ca="1" si="1"/>
        <v>22.949086956343653</v>
      </c>
      <c r="H63" s="26" t="str">
        <f t="shared" ca="1" si="2"/>
        <v>YES</v>
      </c>
      <c r="I63" s="29">
        <v>778</v>
      </c>
    </row>
    <row r="64" spans="1:9" ht="24.95" customHeight="1" thickTop="1" thickBot="1" x14ac:dyDescent="0.25">
      <c r="A64" s="16" t="str">
        <f ca="1">IF(ISNA(MATCH(14,DATA_1!A2:A40,0)),"14","14 / " &amp; (INDIRECT("DATA_1!R"&amp;(MATCH(14,DATA_1!A2:A40,0))+1)) &amp; ":00")</f>
        <v>14 / 8:00</v>
      </c>
      <c r="B64" s="42">
        <f ca="1">IF(ISNA(MATCH(14,DATA_1!A2:A40,0)),"",INDIRECT("DATA_1!T"&amp;(MATCH(14,DATA_1!A2:A40,0))+1))</f>
        <v>0.74</v>
      </c>
      <c r="C64" s="6">
        <v>111</v>
      </c>
      <c r="D64" s="56">
        <f t="shared" ca="1" si="0"/>
        <v>82.14</v>
      </c>
      <c r="E64" s="45">
        <v>9.1</v>
      </c>
      <c r="F64" s="47">
        <v>7.3</v>
      </c>
      <c r="G64" s="58">
        <f t="shared" ca="1" si="1"/>
        <v>22.073776816155469</v>
      </c>
      <c r="H64" s="26" t="str">
        <f t="shared" ca="1" si="2"/>
        <v>YES</v>
      </c>
      <c r="I64" s="29">
        <v>786</v>
      </c>
    </row>
    <row r="65" spans="1:9" ht="24.95" customHeight="1" thickTop="1" thickBot="1" x14ac:dyDescent="0.25">
      <c r="A65" s="16" t="str">
        <f ca="1">IF(ISNA(MATCH(15,DATA_1!A2:A40,0)),"15","15 / " &amp; (INDIRECT("DATA_1!R"&amp;(MATCH(15,DATA_1!A2:A40,0))+1)) &amp; ":00")</f>
        <v>15 / 12:00</v>
      </c>
      <c r="B65" s="42">
        <v>0.74</v>
      </c>
      <c r="C65" s="6">
        <v>111</v>
      </c>
      <c r="D65" s="56">
        <f t="shared" si="0"/>
        <v>82.14</v>
      </c>
      <c r="E65" s="45">
        <v>9.3000000000000007</v>
      </c>
      <c r="F65" s="47">
        <v>7.33</v>
      </c>
      <c r="G65" s="58">
        <f t="shared" si="1"/>
        <v>22.015395063987846</v>
      </c>
      <c r="H65" s="26" t="str">
        <f t="shared" si="2"/>
        <v>YES</v>
      </c>
      <c r="I65" s="29">
        <v>787</v>
      </c>
    </row>
    <row r="66" spans="1:9" ht="24.95" customHeight="1" thickTop="1" thickBot="1" x14ac:dyDescent="0.25">
      <c r="A66" s="16" t="str">
        <f ca="1">IF(ISNA(MATCH(16,DATA_1!A2:A40,0)),"16","16 / " &amp; (INDIRECT("DATA_1!R"&amp;(MATCH(16,DATA_1!A2:A40,0))+1)) &amp; ":00")</f>
        <v>16 / 8:00</v>
      </c>
      <c r="B66" s="42">
        <v>0.72</v>
      </c>
      <c r="C66" s="4">
        <v>111</v>
      </c>
      <c r="D66" s="56">
        <f t="shared" si="0"/>
        <v>79.92</v>
      </c>
      <c r="E66" s="45">
        <v>9.1999999999999993</v>
      </c>
      <c r="F66" s="47">
        <v>7.18</v>
      </c>
      <c r="G66" s="58">
        <f t="shared" si="1"/>
        <v>20.977971190078776</v>
      </c>
      <c r="H66" s="26" t="str">
        <f t="shared" si="2"/>
        <v>YES</v>
      </c>
      <c r="I66" s="29">
        <v>779</v>
      </c>
    </row>
    <row r="67" spans="1:9" ht="24.95" customHeight="1" thickTop="1" thickBot="1" x14ac:dyDescent="0.25">
      <c r="A67" s="16" t="str">
        <f ca="1">IF(ISNA(MATCH(17,DATA_1!A2:A40,0)),"17","17 / " &amp; (INDIRECT("DATA_1!R"&amp;(MATCH(17,DATA_1!A2:A40,0))+1)) &amp; ":00")</f>
        <v>17 / 8:00</v>
      </c>
      <c r="B67" s="42">
        <f ca="1">IF(ISNA(MATCH(17,DATA_1!A2:A40,0)),"",INDIRECT("DATA_1!T"&amp;(MATCH(17,DATA_1!A2:A40,0))+1))</f>
        <v>0.81</v>
      </c>
      <c r="C67" s="6">
        <v>111</v>
      </c>
      <c r="D67" s="56">
        <f t="shared" ca="1" si="0"/>
        <v>89.910000000000011</v>
      </c>
      <c r="E67" s="45">
        <v>9.1999999999999993</v>
      </c>
      <c r="F67" s="47">
        <v>7.14</v>
      </c>
      <c r="G67" s="58">
        <f t="shared" ca="1" si="1"/>
        <v>20.896864189679661</v>
      </c>
      <c r="H67" s="26" t="str">
        <f t="shared" ca="1" si="2"/>
        <v>YES</v>
      </c>
      <c r="I67" s="29">
        <v>823</v>
      </c>
    </row>
    <row r="68" spans="1:9" ht="24.95" customHeight="1" thickTop="1" thickBot="1" x14ac:dyDescent="0.25">
      <c r="A68" s="16" t="str">
        <f ca="1">IF(ISNA(MATCH(18,DATA_1!A2:A40,0)),"18","18 / " &amp; (INDIRECT("DATA_1!R"&amp;(MATCH(18,DATA_1!A2:A40,0))+1)) &amp; ":00")</f>
        <v>18 / 8:00</v>
      </c>
      <c r="B68" s="42">
        <f ca="1">IF(ISNA(MATCH(18,DATA_1!A2:A40,0)),"",INDIRECT("DATA_1!T"&amp;(MATCH(18,DATA_1!A2:A40,0))+1))</f>
        <v>0.88</v>
      </c>
      <c r="C68" s="6">
        <v>111</v>
      </c>
      <c r="D68" s="56">
        <f t="shared" ca="1" si="0"/>
        <v>97.68</v>
      </c>
      <c r="E68" s="45">
        <v>9</v>
      </c>
      <c r="F68" s="47">
        <v>7.23</v>
      </c>
      <c r="G68" s="58">
        <f t="shared" ca="1" si="1"/>
        <v>22.025345719476416</v>
      </c>
      <c r="H68" s="26" t="str">
        <f t="shared" ca="1" si="2"/>
        <v>YES</v>
      </c>
      <c r="I68" s="29">
        <v>819</v>
      </c>
    </row>
    <row r="69" spans="1:9" ht="24.95" customHeight="1" thickTop="1" thickBot="1" x14ac:dyDescent="0.25">
      <c r="A69" s="16" t="str">
        <f ca="1">IF(ISNA(MATCH(19,DATA_1!A2:A40,0)),"19","19 / " &amp; (INDIRECT("DATA_1!R"&amp;(MATCH(19,DATA_1!A2:A40,0))+1)) &amp; ":00")</f>
        <v>19 / 8:00</v>
      </c>
      <c r="B69" s="42">
        <f ca="1">IF(ISNA(MATCH(19,DATA_1!A2:A40,0)),"",INDIRECT("DATA_1!T"&amp;(MATCH(19,DATA_1!A2:A40,0))+1))</f>
        <v>0.88</v>
      </c>
      <c r="C69" s="6">
        <v>111</v>
      </c>
      <c r="D69" s="56">
        <f t="shared" ca="1" si="0"/>
        <v>97.68</v>
      </c>
      <c r="E69" s="45">
        <v>9</v>
      </c>
      <c r="F69" s="47">
        <v>7.44</v>
      </c>
      <c r="G69" s="58">
        <f t="shared" ca="1" si="1"/>
        <v>23.719756317599249</v>
      </c>
      <c r="H69" s="26" t="str">
        <f t="shared" ca="1" si="2"/>
        <v>YES</v>
      </c>
      <c r="I69" s="29">
        <v>826</v>
      </c>
    </row>
    <row r="70" spans="1:9" ht="24.95" customHeight="1" thickTop="1" thickBot="1" x14ac:dyDescent="0.25">
      <c r="A70" s="16" t="str">
        <f ca="1">IF(ISNA(MATCH(20,DATA_1!A2:A40,0)),"20","20 / " &amp; (INDIRECT("DATA_1!R"&amp;(MATCH(20,DATA_1!A2:A40,0))+1)) &amp; ":00")</f>
        <v>20 / 8:00</v>
      </c>
      <c r="B70" s="63">
        <f ca="1">IF(ISNA(MATCH(20,DATA_1!A2:A40,0)),"",INDIRECT("DATA_1!T"&amp;(MATCH(20,DATA_1!A2:A40,0))+1))</f>
        <v>0.87</v>
      </c>
      <c r="C70" s="6">
        <v>111</v>
      </c>
      <c r="D70" s="56">
        <f t="shared" ca="1" si="0"/>
        <v>96.57</v>
      </c>
      <c r="E70" s="45">
        <v>8.9</v>
      </c>
      <c r="F70" s="47">
        <v>7.53</v>
      </c>
      <c r="G70" s="58">
        <f t="shared" ca="1" si="1"/>
        <v>24.625141306019575</v>
      </c>
      <c r="H70" s="26" t="str">
        <f t="shared" ca="1" si="2"/>
        <v>YES</v>
      </c>
      <c r="I70" s="29">
        <v>824</v>
      </c>
    </row>
    <row r="71" spans="1:9" ht="24.95" customHeight="1" thickTop="1" thickBot="1" x14ac:dyDescent="0.25">
      <c r="A71" s="16" t="str">
        <f ca="1">IF(ISNA(MATCH(21,DATA_1!A2:A40,0)),"21","21 / " &amp; (INDIRECT("DATA_1!R"&amp;(MATCH(21,DATA_1!A2:A40,0))+1)) &amp; ":00")</f>
        <v>21 / 20:00</v>
      </c>
      <c r="B71" s="63">
        <f ca="1">IF(ISNA(MATCH(21,DATA_1!A2:A40,0)),"",INDIRECT("DATA_1!T"&amp;(MATCH(21,DATA_1!A2:A40,0))+1))</f>
        <v>0.86</v>
      </c>
      <c r="C71" s="4">
        <v>111</v>
      </c>
      <c r="D71" s="56">
        <f t="shared" ca="1" si="0"/>
        <v>95.46</v>
      </c>
      <c r="E71" s="45">
        <v>8.8000000000000007</v>
      </c>
      <c r="F71" s="47">
        <v>7.53</v>
      </c>
      <c r="G71" s="58">
        <f t="shared" ca="1" si="1"/>
        <v>24.76171582531137</v>
      </c>
      <c r="H71" s="26" t="str">
        <f t="shared" ca="1" si="2"/>
        <v>YES</v>
      </c>
      <c r="I71" s="29">
        <v>820</v>
      </c>
    </row>
    <row r="72" spans="1:9" ht="24.95" customHeight="1" thickTop="1" thickBot="1" x14ac:dyDescent="0.25">
      <c r="A72" s="16" t="str">
        <f ca="1">IF(ISNA(MATCH(22,DATA_1!A2:A40,0)),"22","22 / " &amp; (INDIRECT("DATA_1!R"&amp;(MATCH(22,DATA_1!A2:A40,0))+1)) &amp; ":00")</f>
        <v>22 / 8:00</v>
      </c>
      <c r="B72" s="63">
        <f ca="1">IF(ISNA(MATCH(22,DATA_1!A2:A40,0)),"",INDIRECT("DATA_1!T"&amp;(MATCH(22,DATA_1!A2:A40,0))+1))</f>
        <v>0.85</v>
      </c>
      <c r="C72" s="6">
        <v>111</v>
      </c>
      <c r="D72" s="56">
        <f t="shared" ca="1" si="0"/>
        <v>94.35</v>
      </c>
      <c r="E72" s="45">
        <v>8.6999999999999993</v>
      </c>
      <c r="F72" s="47">
        <v>7.55</v>
      </c>
      <c r="G72" s="58">
        <f t="shared" ca="1" si="1"/>
        <v>25.077039204425041</v>
      </c>
      <c r="H72" s="26" t="str">
        <f t="shared" ca="1" si="2"/>
        <v>YES</v>
      </c>
      <c r="I72" s="29">
        <v>784</v>
      </c>
    </row>
    <row r="73" spans="1:9" ht="24.95" customHeight="1" thickTop="1" thickBot="1" x14ac:dyDescent="0.25">
      <c r="A73" s="16" t="str">
        <f ca="1">IF(ISNA(MATCH(23,DATA_1!A2:A40,0)),"23","23 / " &amp; (INDIRECT("DATA_1!R"&amp;(MATCH(23,DATA_1!A2:A40,0))+1)) &amp; ":00")</f>
        <v>23 / 8:00</v>
      </c>
      <c r="B73" s="63">
        <v>0.85</v>
      </c>
      <c r="C73" s="6">
        <v>111</v>
      </c>
      <c r="D73" s="56">
        <f t="shared" si="0"/>
        <v>94.35</v>
      </c>
      <c r="E73" s="45">
        <v>8.4</v>
      </c>
      <c r="F73" s="47">
        <v>7.46</v>
      </c>
      <c r="G73" s="58">
        <f t="shared" si="1"/>
        <v>24.778024408611056</v>
      </c>
      <c r="H73" s="26" t="str">
        <f t="shared" si="2"/>
        <v>YES</v>
      </c>
      <c r="I73" s="29">
        <v>783</v>
      </c>
    </row>
    <row r="74" spans="1:9" ht="24.95" customHeight="1" thickTop="1" thickBot="1" x14ac:dyDescent="0.25">
      <c r="A74" s="16" t="str">
        <f ca="1">IF(ISNA(MATCH(24,DATA_1!A2:A40,0)),"24","24 / " &amp; (INDIRECT("DATA_1!R"&amp;(MATCH(24,DATA_1!A2:A40,0))+1)) &amp; ":00")</f>
        <v>24 / 12:00</v>
      </c>
      <c r="B74" s="63">
        <v>0.85</v>
      </c>
      <c r="C74" s="6">
        <v>111</v>
      </c>
      <c r="D74" s="56">
        <f t="shared" si="0"/>
        <v>94.35</v>
      </c>
      <c r="E74" s="45">
        <v>8.1999999999999993</v>
      </c>
      <c r="F74" s="47">
        <v>7.41</v>
      </c>
      <c r="G74" s="58">
        <f t="shared" si="1"/>
        <v>24.66839449382006</v>
      </c>
      <c r="H74" s="26" t="str">
        <f t="shared" si="2"/>
        <v>YES</v>
      </c>
      <c r="I74" s="29">
        <v>784</v>
      </c>
    </row>
    <row r="75" spans="1:9" ht="24.95" customHeight="1" thickTop="1" thickBot="1" x14ac:dyDescent="0.25">
      <c r="A75" s="16" t="str">
        <f ca="1">IF(ISNA(MATCH(25,DATA_1!A2:A40,0)),"25","25 / " &amp; (INDIRECT("DATA_1!R"&amp;(MATCH(25,DATA_1!A2:A40,0))+1)) &amp; ":00")</f>
        <v>25 / 8:00</v>
      </c>
      <c r="B75" s="63">
        <f ca="1">IF(ISNA(MATCH(25,DATA_1!A2:A40,0)),"",INDIRECT("DATA_1!T"&amp;(MATCH(25,DATA_1!A2:A40,0))+1))</f>
        <v>0.85</v>
      </c>
      <c r="C75" s="6">
        <v>111</v>
      </c>
      <c r="D75" s="56">
        <f t="shared" ca="1" si="0"/>
        <v>94.35</v>
      </c>
      <c r="E75" s="45">
        <v>8</v>
      </c>
      <c r="F75" s="47">
        <v>7.46</v>
      </c>
      <c r="G75" s="58">
        <f t="shared" ca="1" si="1"/>
        <v>25.449420882785887</v>
      </c>
      <c r="H75" s="26" t="str">
        <f t="shared" ca="1" si="2"/>
        <v>YES</v>
      </c>
      <c r="I75" s="29">
        <v>781</v>
      </c>
    </row>
    <row r="76" spans="1:9" ht="24.95" customHeight="1" thickTop="1" thickBot="1" x14ac:dyDescent="0.25">
      <c r="A76" s="16" t="str">
        <f ca="1">IF(ISNA(MATCH(26,DATA_1!A2:A40,0)),"26","26 / " &amp; (INDIRECT("DATA_1!R"&amp;(MATCH(26,DATA_1!A2:A40,0))+1)) &amp; ":00")</f>
        <v>26 / 8:00</v>
      </c>
      <c r="B76" s="63">
        <v>0.86</v>
      </c>
      <c r="C76" s="4">
        <v>111</v>
      </c>
      <c r="D76" s="56">
        <f t="shared" si="0"/>
        <v>95.46</v>
      </c>
      <c r="E76" s="45">
        <v>7.9</v>
      </c>
      <c r="F76" s="47">
        <v>7.56</v>
      </c>
      <c r="G76" s="58">
        <f t="shared" si="1"/>
        <v>26.583131124981392</v>
      </c>
      <c r="H76" s="26" t="str">
        <f t="shared" si="2"/>
        <v>YES</v>
      </c>
      <c r="I76" s="29">
        <v>773</v>
      </c>
    </row>
    <row r="77" spans="1:9" ht="24.95" customHeight="1" thickTop="1" thickBot="1" x14ac:dyDescent="0.25">
      <c r="A77" s="16" t="str">
        <f ca="1">IF(ISNA(MATCH(27,DATA_1!A2:A40,0)),"27","27 / " &amp; (INDIRECT("DATA_1!R"&amp;(MATCH(27,DATA_1!A2:A40,0))+1)) &amp; ":00")</f>
        <v>27 / 12:00</v>
      </c>
      <c r="B77" s="63">
        <f ca="1">IF(ISNA(MATCH(27,DATA_1!A2:A40,0)),"",INDIRECT("DATA_1!T"&amp;(MATCH(27,DATA_1!A2:A40,0))+1))</f>
        <v>0.82</v>
      </c>
      <c r="C77" s="6">
        <v>111</v>
      </c>
      <c r="D77" s="56">
        <f t="shared" ca="1" si="0"/>
        <v>91.02</v>
      </c>
      <c r="E77" s="45">
        <v>7.9</v>
      </c>
      <c r="F77" s="47">
        <v>7.55</v>
      </c>
      <c r="G77" s="58">
        <f t="shared" ca="1" si="1"/>
        <v>26.366609388919183</v>
      </c>
      <c r="H77" s="26" t="str">
        <f t="shared" ca="1" si="2"/>
        <v>YES</v>
      </c>
      <c r="I77" s="29">
        <v>780</v>
      </c>
    </row>
    <row r="78" spans="1:9" ht="24.95" customHeight="1" thickTop="1" thickBot="1" x14ac:dyDescent="0.25">
      <c r="A78" s="16" t="str">
        <f ca="1">IF(ISNA(MATCH(28,DATA_1!A2:A40,0)),"28","28 / " &amp; (INDIRECT("DATA_1!R"&amp;(MATCH(28,DATA_1!A2:A40,0))+1)) &amp; ":00")</f>
        <v>28 / 12:00</v>
      </c>
      <c r="B78" s="63">
        <f ca="1">IF(ISNA(MATCH(28,DATA_1!A2:A40,0)),"",INDIRECT("DATA_1!T"&amp;(MATCH(28,DATA_1!A2:A40,0))+1))</f>
        <v>0.79</v>
      </c>
      <c r="C78" s="6">
        <v>111</v>
      </c>
      <c r="D78" s="56">
        <f t="shared" ca="1" si="0"/>
        <v>87.69</v>
      </c>
      <c r="E78" s="45">
        <v>8</v>
      </c>
      <c r="F78" s="47">
        <v>7.43</v>
      </c>
      <c r="G78" s="58">
        <f t="shared" ca="1" si="1"/>
        <v>25.006437407974992</v>
      </c>
      <c r="H78" s="26" t="str">
        <f t="shared" ca="1" si="2"/>
        <v>YES</v>
      </c>
      <c r="I78" s="29">
        <v>824</v>
      </c>
    </row>
    <row r="79" spans="1:9" ht="24.95" customHeight="1" thickTop="1" thickBot="1" x14ac:dyDescent="0.25">
      <c r="A79" s="16" t="str">
        <f ca="1">IF(ISNA(MATCH(29,DATA_1!A2:A40,0)),"29","29 / " &amp; (INDIRECT("DATA_1!R"&amp;(MATCH(29,DATA_1!A2:A40,0))+1)) &amp; ":00")</f>
        <v>29 / 8:00</v>
      </c>
      <c r="B79" s="63">
        <v>0.78</v>
      </c>
      <c r="C79" s="6">
        <v>111</v>
      </c>
      <c r="D79" s="56">
        <f t="shared" si="0"/>
        <v>86.58</v>
      </c>
      <c r="E79" s="45">
        <v>8</v>
      </c>
      <c r="F79" s="47">
        <v>7.42</v>
      </c>
      <c r="G79" s="58">
        <f t="shared" si="1"/>
        <v>24.889098103309006</v>
      </c>
      <c r="H79" s="26" t="str">
        <f t="shared" si="2"/>
        <v>YES</v>
      </c>
      <c r="I79" s="29">
        <v>834</v>
      </c>
    </row>
    <row r="80" spans="1:9" ht="24.95" customHeight="1" thickTop="1" thickBot="1" x14ac:dyDescent="0.25">
      <c r="A80" s="16" t="s">
        <v>43</v>
      </c>
      <c r="B80" s="63">
        <v>0.78</v>
      </c>
      <c r="C80" s="6">
        <v>111</v>
      </c>
      <c r="D80" s="56">
        <f t="shared" si="0"/>
        <v>86.58</v>
      </c>
      <c r="E80" s="45">
        <v>8</v>
      </c>
      <c r="F80" s="47">
        <v>7.33</v>
      </c>
      <c r="G80" s="58">
        <f t="shared" si="1"/>
        <v>24.105712218920239</v>
      </c>
      <c r="H80" s="26" t="str">
        <f t="shared" si="2"/>
        <v>YES</v>
      </c>
      <c r="I80" s="29">
        <v>879</v>
      </c>
    </row>
    <row r="81" spans="1:9" ht="24.95" customHeight="1" thickTop="1" thickBot="1" x14ac:dyDescent="0.25">
      <c r="A81" s="16" t="str">
        <f ca="1">IF(ISNA(MATCH(31,DATA_1!A2:A40,0)),"31","31 / " &amp; (INDIRECT("DATA_1!R"&amp;(MATCH(31,DATA_1!A2:A40,0))+1)) &amp; ":00")</f>
        <v>31 / 8:00</v>
      </c>
      <c r="B81" s="63">
        <v>0.79</v>
      </c>
      <c r="C81" s="6">
        <v>111</v>
      </c>
      <c r="D81" s="22">
        <f t="shared" si="0"/>
        <v>87.69</v>
      </c>
      <c r="E81" s="89">
        <v>8.5</v>
      </c>
      <c r="F81" s="72">
        <v>7.31</v>
      </c>
      <c r="G81" s="22">
        <f t="shared" si="1"/>
        <v>23.179692719368678</v>
      </c>
      <c r="H81" s="69" t="str">
        <f t="shared" si="2"/>
        <v>YES</v>
      </c>
      <c r="I81" s="93">
        <v>878</v>
      </c>
    </row>
    <row r="82" spans="1:9" ht="16.5" thickTop="1" x14ac:dyDescent="0.3">
      <c r="A82" s="75" t="s">
        <v>60</v>
      </c>
      <c r="B82" s="12"/>
      <c r="C82" s="12"/>
      <c r="D82" s="43"/>
      <c r="E82" s="21"/>
      <c r="F82" s="65"/>
      <c r="G82" s="21"/>
      <c r="H82" s="137" t="s">
        <v>69</v>
      </c>
      <c r="I82" s="138"/>
    </row>
    <row r="83" spans="1:9" ht="25.5" customHeight="1" x14ac:dyDescent="0.2">
      <c r="A83" s="139" t="s">
        <v>21</v>
      </c>
      <c r="B83" s="139"/>
      <c r="C83" s="139"/>
      <c r="D83" s="139"/>
      <c r="E83" s="139"/>
      <c r="F83" s="139"/>
      <c r="G83" s="139"/>
      <c r="H83" s="139"/>
      <c r="I83" s="139"/>
    </row>
    <row r="84" spans="1:9" x14ac:dyDescent="0.2">
      <c r="A84" s="140" t="s">
        <v>45</v>
      </c>
      <c r="B84" s="140"/>
      <c r="C84" s="140"/>
      <c r="D84" s="140"/>
      <c r="E84" s="140"/>
      <c r="F84" s="140"/>
      <c r="G84" s="140"/>
      <c r="H84" s="140"/>
      <c r="I84" s="140"/>
    </row>
  </sheetData>
  <sheetProtection password="CCC7" sheet="1"/>
  <mergeCells count="57">
    <mergeCell ref="H82:I82"/>
    <mergeCell ref="A83:I83"/>
    <mergeCell ref="A84:I84"/>
    <mergeCell ref="A43:I43"/>
    <mergeCell ref="A44:I44"/>
    <mergeCell ref="A45:I45"/>
    <mergeCell ref="A46:G46"/>
    <mergeCell ref="B47:C47"/>
    <mergeCell ref="A38:D38"/>
    <mergeCell ref="F38:G39"/>
    <mergeCell ref="H38:I39"/>
    <mergeCell ref="A39:D39"/>
    <mergeCell ref="F40:I40"/>
    <mergeCell ref="A40:E42"/>
    <mergeCell ref="F41:H41"/>
    <mergeCell ref="F42:H42"/>
    <mergeCell ref="H35:I35"/>
    <mergeCell ref="A36:E36"/>
    <mergeCell ref="F36:I36"/>
    <mergeCell ref="A37:D37"/>
    <mergeCell ref="F37:G37"/>
    <mergeCell ref="H37:I37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I5"/>
    <mergeCell ref="H6:I6"/>
    <mergeCell ref="H7:I7"/>
    <mergeCell ref="H8:I8"/>
    <mergeCell ref="H9:I9"/>
    <mergeCell ref="A1:G1"/>
    <mergeCell ref="A2:G2"/>
    <mergeCell ref="B3:D3"/>
    <mergeCell ref="F3:G3"/>
    <mergeCell ref="H4:I4"/>
  </mergeCells>
  <printOptions horizontalCentered="1"/>
  <pageMargins left="0.28000000000000003" right="0.28000000000000003" top="0.5" bottom="0.5" header="0.5" footer="0.5"/>
  <pageSetup scale="73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7"/>
  <sheetViews>
    <sheetView workbookViewId="0">
      <pane ySplit="1" topLeftCell="A2" activePane="bottomLeft" state="frozen"/>
      <selection pane="bottomLeft" activeCell="K30" sqref="K30"/>
    </sheetView>
  </sheetViews>
  <sheetFormatPr defaultColWidth="8.85546875" defaultRowHeight="12.75" x14ac:dyDescent="0.2"/>
  <cols>
    <col min="1" max="2" width="8.85546875" style="25"/>
    <col min="3" max="8" width="11.42578125" style="25" customWidth="1"/>
    <col min="9" max="11" width="15.7109375" style="25" customWidth="1"/>
    <col min="12" max="17" width="8.85546875" style="25"/>
    <col min="18" max="20" width="15.7109375" style="25" customWidth="1"/>
    <col min="21" max="16384" width="8.85546875" style="25"/>
  </cols>
  <sheetData>
    <row r="1" spans="1:20" s="71" customFormat="1" ht="43.5" customHeight="1" x14ac:dyDescent="0.2">
      <c r="A1" s="23" t="s">
        <v>63</v>
      </c>
      <c r="B1" s="23" t="s">
        <v>12</v>
      </c>
      <c r="C1" s="7" t="s">
        <v>27</v>
      </c>
      <c r="D1" s="7" t="s">
        <v>74</v>
      </c>
      <c r="E1" s="7" t="s">
        <v>50</v>
      </c>
      <c r="F1" s="7" t="s">
        <v>40</v>
      </c>
      <c r="G1" s="7" t="s">
        <v>57</v>
      </c>
      <c r="H1" s="7" t="s">
        <v>28</v>
      </c>
      <c r="I1" s="17" t="s">
        <v>36</v>
      </c>
      <c r="J1" s="17" t="s">
        <v>31</v>
      </c>
      <c r="K1" s="35" t="s">
        <v>29</v>
      </c>
      <c r="L1" s="8" t="s">
        <v>41</v>
      </c>
      <c r="M1" s="8" t="s">
        <v>5</v>
      </c>
      <c r="N1" s="8" t="s">
        <v>58</v>
      </c>
      <c r="O1" s="8" t="s">
        <v>6</v>
      </c>
      <c r="P1" s="8" t="s">
        <v>67</v>
      </c>
      <c r="Q1" s="8" t="s">
        <v>30</v>
      </c>
      <c r="R1" s="39" t="s">
        <v>59</v>
      </c>
      <c r="S1" s="55" t="s">
        <v>10</v>
      </c>
      <c r="T1" s="79" t="s">
        <v>75</v>
      </c>
    </row>
    <row r="2" spans="1:20" x14ac:dyDescent="0.2">
      <c r="A2" s="1">
        <v>1</v>
      </c>
      <c r="B2" s="1" t="s">
        <v>32</v>
      </c>
      <c r="C2" s="2">
        <v>999.99</v>
      </c>
      <c r="D2" s="2">
        <v>999.99</v>
      </c>
      <c r="E2" s="2">
        <v>0.36144769999999998</v>
      </c>
      <c r="F2" s="2">
        <v>0.1813111</v>
      </c>
      <c r="G2" s="2">
        <v>999.99</v>
      </c>
      <c r="H2" s="2">
        <v>999.99</v>
      </c>
      <c r="I2" s="13">
        <v>8</v>
      </c>
      <c r="J2" s="13">
        <v>0</v>
      </c>
      <c r="K2" s="30">
        <v>0.36144769999999998</v>
      </c>
      <c r="L2" s="2">
        <v>999.99</v>
      </c>
      <c r="M2" s="2">
        <v>999.99</v>
      </c>
      <c r="N2" s="2">
        <v>0.86816749999999998</v>
      </c>
      <c r="O2" s="2">
        <v>0.88636360000000003</v>
      </c>
      <c r="P2" s="2">
        <v>999.99</v>
      </c>
      <c r="Q2" s="2">
        <v>999.99</v>
      </c>
      <c r="R2" s="13">
        <v>8</v>
      </c>
      <c r="S2" s="36">
        <v>0.86816749999999998</v>
      </c>
      <c r="T2" s="38">
        <f t="shared" ref="T2:T28" si="0">IF(S2=0,"",ROUND(S2,2))</f>
        <v>0.87</v>
      </c>
    </row>
    <row r="3" spans="1:20" x14ac:dyDescent="0.2">
      <c r="A3" s="1">
        <v>2</v>
      </c>
      <c r="B3" s="1" t="s">
        <v>32</v>
      </c>
      <c r="C3" s="2">
        <v>999.99</v>
      </c>
      <c r="D3" s="2">
        <v>999.99</v>
      </c>
      <c r="E3" s="2">
        <v>0.19638630000000001</v>
      </c>
      <c r="F3" s="2">
        <v>999.99</v>
      </c>
      <c r="G3" s="2">
        <v>0.2068094</v>
      </c>
      <c r="H3" s="2">
        <v>999.99</v>
      </c>
      <c r="I3" s="13">
        <v>16</v>
      </c>
      <c r="J3" s="13">
        <v>0</v>
      </c>
      <c r="K3" s="30">
        <v>0.20892930000000001</v>
      </c>
      <c r="L3" s="2">
        <v>999.99</v>
      </c>
      <c r="M3" s="2">
        <v>999.99</v>
      </c>
      <c r="N3" s="2">
        <v>0.86910960000000004</v>
      </c>
      <c r="O3" s="2">
        <v>999.99</v>
      </c>
      <c r="P3" s="2">
        <v>0.85756770000000004</v>
      </c>
      <c r="Q3" s="2">
        <v>999.99</v>
      </c>
      <c r="R3" s="13">
        <v>16</v>
      </c>
      <c r="S3" s="36">
        <v>0.85756770000000004</v>
      </c>
      <c r="T3" s="38">
        <f t="shared" si="0"/>
        <v>0.86</v>
      </c>
    </row>
    <row r="4" spans="1:20" x14ac:dyDescent="0.2">
      <c r="A4" s="1">
        <v>3</v>
      </c>
      <c r="B4" s="1" t="s">
        <v>32</v>
      </c>
      <c r="C4" s="2">
        <v>999.99</v>
      </c>
      <c r="D4" s="2">
        <v>999.99</v>
      </c>
      <c r="E4" s="2">
        <v>0.25250600000000001</v>
      </c>
      <c r="F4" s="2">
        <v>0.22592809999999999</v>
      </c>
      <c r="G4" s="2">
        <v>3.0441559999999999E-2</v>
      </c>
      <c r="H4" s="2">
        <v>999.99</v>
      </c>
      <c r="I4" s="13">
        <v>8</v>
      </c>
      <c r="J4" s="13">
        <v>0</v>
      </c>
      <c r="K4" s="30">
        <v>0.25733479999999997</v>
      </c>
      <c r="L4" s="2">
        <v>999.99</v>
      </c>
      <c r="M4" s="2">
        <v>999.99</v>
      </c>
      <c r="N4" s="2">
        <v>0.83954810000000002</v>
      </c>
      <c r="O4" s="2">
        <v>0.83407160000000002</v>
      </c>
      <c r="P4" s="2">
        <v>0.84526029999999996</v>
      </c>
      <c r="Q4" s="2">
        <v>999.99</v>
      </c>
      <c r="R4" s="13">
        <v>12</v>
      </c>
      <c r="S4" s="36">
        <v>0.83407160000000002</v>
      </c>
      <c r="T4" s="38">
        <f t="shared" si="0"/>
        <v>0.83</v>
      </c>
    </row>
    <row r="5" spans="1:20" x14ac:dyDescent="0.2">
      <c r="A5" s="1">
        <v>4</v>
      </c>
      <c r="B5" s="1" t="s">
        <v>32</v>
      </c>
      <c r="C5" s="2">
        <v>999.99</v>
      </c>
      <c r="D5" s="2">
        <v>999.99</v>
      </c>
      <c r="E5" s="2">
        <v>999.99</v>
      </c>
      <c r="F5" s="2">
        <v>4.4397859999999997E-2</v>
      </c>
      <c r="G5" s="2">
        <v>2.887122E-2</v>
      </c>
      <c r="H5" s="2">
        <v>999.99</v>
      </c>
      <c r="I5" s="13">
        <v>12</v>
      </c>
      <c r="J5" s="13">
        <v>0</v>
      </c>
      <c r="K5" s="30">
        <v>4.7852600000000002E-2</v>
      </c>
      <c r="L5" s="2">
        <v>999.99</v>
      </c>
      <c r="M5" s="2">
        <v>999.99</v>
      </c>
      <c r="N5" s="2">
        <v>999.99</v>
      </c>
      <c r="O5" s="2">
        <v>0.81740639999999998</v>
      </c>
      <c r="P5" s="2">
        <v>0.8230596</v>
      </c>
      <c r="Q5" s="2">
        <v>999.99</v>
      </c>
      <c r="R5" s="13">
        <v>12</v>
      </c>
      <c r="S5" s="36">
        <v>0.81740639999999998</v>
      </c>
      <c r="T5" s="38">
        <f t="shared" si="0"/>
        <v>0.82</v>
      </c>
    </row>
    <row r="6" spans="1:20" x14ac:dyDescent="0.2">
      <c r="A6" s="1">
        <v>5</v>
      </c>
      <c r="B6" s="1" t="s">
        <v>32</v>
      </c>
      <c r="C6" s="2">
        <v>999.99</v>
      </c>
      <c r="D6" s="2">
        <v>999.99</v>
      </c>
      <c r="E6" s="2">
        <v>5.4330200000000002E-2</v>
      </c>
      <c r="F6" s="2">
        <v>3.3444799999999997E-2</v>
      </c>
      <c r="G6" s="2">
        <v>999.99</v>
      </c>
      <c r="H6" s="2">
        <v>999.99</v>
      </c>
      <c r="I6" s="13">
        <v>8</v>
      </c>
      <c r="J6" s="13">
        <v>0</v>
      </c>
      <c r="K6" s="30">
        <v>5.778494E-2</v>
      </c>
      <c r="L6" s="2">
        <v>999.99</v>
      </c>
      <c r="M6" s="2">
        <v>999.99</v>
      </c>
      <c r="N6" s="2">
        <v>0.80598230000000004</v>
      </c>
      <c r="O6" s="2">
        <v>0.80244910000000003</v>
      </c>
      <c r="P6" s="2">
        <v>999.99</v>
      </c>
      <c r="Q6" s="2">
        <v>999.99</v>
      </c>
      <c r="R6" s="13">
        <v>8</v>
      </c>
      <c r="S6" s="36">
        <v>0.80244910000000003</v>
      </c>
      <c r="T6" s="38">
        <f t="shared" si="0"/>
        <v>0.8</v>
      </c>
    </row>
    <row r="7" spans="1:20" x14ac:dyDescent="0.2">
      <c r="A7" s="1">
        <v>6</v>
      </c>
      <c r="B7" s="1" t="s">
        <v>32</v>
      </c>
      <c r="C7" s="2">
        <v>999.99</v>
      </c>
      <c r="D7" s="2">
        <v>999.99</v>
      </c>
      <c r="E7" s="2">
        <v>6.7678009999999997E-2</v>
      </c>
      <c r="F7" s="2">
        <v>3.0186370000000001E-2</v>
      </c>
      <c r="G7" s="2">
        <v>3.6271390000000001E-2</v>
      </c>
      <c r="H7" s="2">
        <v>999.99</v>
      </c>
      <c r="I7" s="13">
        <v>8</v>
      </c>
      <c r="J7" s="13">
        <v>0</v>
      </c>
      <c r="K7" s="30">
        <v>6.9699830000000004E-2</v>
      </c>
      <c r="L7" s="2">
        <v>999.99</v>
      </c>
      <c r="M7" s="2">
        <v>999.99</v>
      </c>
      <c r="N7" s="2">
        <v>0.78101399999999999</v>
      </c>
      <c r="O7" s="2">
        <v>0.79025939999999995</v>
      </c>
      <c r="P7" s="2">
        <v>0.79520579999999996</v>
      </c>
      <c r="Q7" s="2">
        <v>999.99</v>
      </c>
      <c r="R7" s="13">
        <v>8</v>
      </c>
      <c r="S7" s="36">
        <v>0.78101399999999999</v>
      </c>
      <c r="T7" s="38">
        <f t="shared" si="0"/>
        <v>0.78</v>
      </c>
    </row>
    <row r="8" spans="1:20" x14ac:dyDescent="0.2">
      <c r="A8" s="1">
        <v>7</v>
      </c>
      <c r="B8" s="1" t="s">
        <v>32</v>
      </c>
      <c r="C8" s="2">
        <v>999.99</v>
      </c>
      <c r="D8" s="2">
        <v>999.99</v>
      </c>
      <c r="E8" s="2">
        <v>5.168027E-2</v>
      </c>
      <c r="F8" s="2">
        <v>3.5152559999999999E-2</v>
      </c>
      <c r="G8" s="2">
        <v>999.99</v>
      </c>
      <c r="H8" s="2">
        <v>999.99</v>
      </c>
      <c r="I8" s="13">
        <v>8</v>
      </c>
      <c r="J8" s="13">
        <v>0</v>
      </c>
      <c r="K8" s="30">
        <v>5.217099E-2</v>
      </c>
      <c r="L8" s="2">
        <v>999.99</v>
      </c>
      <c r="M8" s="2">
        <v>999.99</v>
      </c>
      <c r="N8" s="2">
        <v>0.77324090000000001</v>
      </c>
      <c r="O8" s="2">
        <v>0.77412409999999998</v>
      </c>
      <c r="P8" s="2">
        <v>999.99</v>
      </c>
      <c r="Q8" s="2">
        <v>999.99</v>
      </c>
      <c r="R8" s="13">
        <v>8</v>
      </c>
      <c r="S8" s="36">
        <v>0.77324090000000001</v>
      </c>
      <c r="T8" s="38">
        <f t="shared" si="0"/>
        <v>0.77</v>
      </c>
    </row>
    <row r="9" spans="1:20" x14ac:dyDescent="0.2">
      <c r="A9" s="1">
        <v>8</v>
      </c>
      <c r="B9" s="1" t="s">
        <v>32</v>
      </c>
      <c r="C9" s="2">
        <v>999.99</v>
      </c>
      <c r="D9" s="2">
        <v>999.99</v>
      </c>
      <c r="E9" s="2">
        <v>6.2947390000000006E-2</v>
      </c>
      <c r="F9" s="2">
        <v>3.4622559999999997E-2</v>
      </c>
      <c r="G9" s="2">
        <v>999.99</v>
      </c>
      <c r="H9" s="2">
        <v>999.99</v>
      </c>
      <c r="I9" s="13">
        <v>8</v>
      </c>
      <c r="J9" s="13">
        <v>0</v>
      </c>
      <c r="K9" s="30">
        <v>6.5616980000000005E-2</v>
      </c>
      <c r="L9" s="2">
        <v>999.99</v>
      </c>
      <c r="M9" s="2">
        <v>999.99</v>
      </c>
      <c r="N9" s="2">
        <v>0.76087459999999996</v>
      </c>
      <c r="O9" s="2">
        <v>0.7639956</v>
      </c>
      <c r="P9" s="2">
        <v>999.99</v>
      </c>
      <c r="Q9" s="2">
        <v>999.99</v>
      </c>
      <c r="R9" s="13">
        <v>8</v>
      </c>
      <c r="S9" s="36">
        <v>0.76087459999999996</v>
      </c>
      <c r="T9" s="38">
        <f t="shared" si="0"/>
        <v>0.76</v>
      </c>
    </row>
    <row r="10" spans="1:20" x14ac:dyDescent="0.2">
      <c r="A10" s="1">
        <v>9</v>
      </c>
      <c r="B10" s="1" t="s">
        <v>32</v>
      </c>
      <c r="C10" s="2">
        <v>999.99</v>
      </c>
      <c r="D10" s="2">
        <v>999.99</v>
      </c>
      <c r="E10" s="2">
        <v>999.99</v>
      </c>
      <c r="F10" s="2">
        <v>4.318085E-2</v>
      </c>
      <c r="G10" s="2">
        <v>999.99</v>
      </c>
      <c r="H10" s="2">
        <v>999.99</v>
      </c>
      <c r="I10" s="13">
        <v>12</v>
      </c>
      <c r="J10" s="13">
        <v>0</v>
      </c>
      <c r="K10" s="30">
        <v>4.4338990000000002E-2</v>
      </c>
      <c r="L10" s="2">
        <v>999.99</v>
      </c>
      <c r="M10" s="2">
        <v>999.99</v>
      </c>
      <c r="N10" s="2">
        <v>999.99</v>
      </c>
      <c r="O10" s="2">
        <v>0.75592800000000004</v>
      </c>
      <c r="P10" s="2">
        <v>999.99</v>
      </c>
      <c r="Q10" s="2">
        <v>999.99</v>
      </c>
      <c r="R10" s="13">
        <v>12</v>
      </c>
      <c r="S10" s="36">
        <v>0.75592800000000004</v>
      </c>
      <c r="T10" s="38">
        <f t="shared" si="0"/>
        <v>0.76</v>
      </c>
    </row>
    <row r="11" spans="1:20" x14ac:dyDescent="0.2">
      <c r="A11" s="1">
        <v>10</v>
      </c>
      <c r="B11" s="1" t="s">
        <v>32</v>
      </c>
      <c r="C11" s="2">
        <v>999.99</v>
      </c>
      <c r="D11" s="2">
        <v>999.99</v>
      </c>
      <c r="E11" s="2">
        <v>7.6020420000000005E-2</v>
      </c>
      <c r="F11" s="2">
        <v>4.2003110000000003E-2</v>
      </c>
      <c r="G11" s="2">
        <v>4.1826450000000001E-2</v>
      </c>
      <c r="H11" s="2">
        <v>999.99</v>
      </c>
      <c r="I11" s="13">
        <v>8</v>
      </c>
      <c r="J11" s="13">
        <v>0</v>
      </c>
      <c r="K11" s="30">
        <v>7.9887360000000004E-2</v>
      </c>
      <c r="L11" s="2">
        <v>999.99</v>
      </c>
      <c r="M11" s="2">
        <v>999.99</v>
      </c>
      <c r="N11" s="2">
        <v>0.74185389999999996</v>
      </c>
      <c r="O11" s="2">
        <v>0.7453282</v>
      </c>
      <c r="P11" s="2">
        <v>0.75563360000000002</v>
      </c>
      <c r="Q11" s="2">
        <v>999.99</v>
      </c>
      <c r="R11" s="13">
        <v>8</v>
      </c>
      <c r="S11" s="36">
        <v>0.74185389999999996</v>
      </c>
      <c r="T11" s="38">
        <f t="shared" si="0"/>
        <v>0.74</v>
      </c>
    </row>
    <row r="12" spans="1:20" x14ac:dyDescent="0.2">
      <c r="A12" s="1">
        <v>11</v>
      </c>
      <c r="B12" s="1" t="s">
        <v>32</v>
      </c>
      <c r="C12" s="2">
        <v>999.99</v>
      </c>
      <c r="D12" s="2">
        <v>999.99</v>
      </c>
      <c r="E12" s="2">
        <v>7.9926609999999995E-2</v>
      </c>
      <c r="F12" s="2">
        <v>4.5614870000000002E-2</v>
      </c>
      <c r="G12" s="2">
        <v>4.1865729999999997E-2</v>
      </c>
      <c r="H12" s="2">
        <v>999.99</v>
      </c>
      <c r="I12" s="13">
        <v>8</v>
      </c>
      <c r="J12" s="13">
        <v>0</v>
      </c>
      <c r="K12" s="30">
        <v>8.3028019999999994E-2</v>
      </c>
      <c r="L12" s="2">
        <v>999.99</v>
      </c>
      <c r="M12" s="2">
        <v>999.99</v>
      </c>
      <c r="N12" s="2">
        <v>0.72153769999999995</v>
      </c>
      <c r="O12" s="2">
        <v>0.73572970000000004</v>
      </c>
      <c r="P12" s="2">
        <v>0.74238389999999999</v>
      </c>
      <c r="Q12" s="2">
        <v>999.99</v>
      </c>
      <c r="R12" s="13">
        <v>8</v>
      </c>
      <c r="S12" s="36">
        <v>0.72153769999999995</v>
      </c>
      <c r="T12" s="38">
        <f t="shared" si="0"/>
        <v>0.72</v>
      </c>
    </row>
    <row r="13" spans="1:20" x14ac:dyDescent="0.2">
      <c r="A13" s="1">
        <v>12</v>
      </c>
      <c r="B13" s="1" t="s">
        <v>32</v>
      </c>
      <c r="C13" s="2">
        <v>999.99</v>
      </c>
      <c r="D13" s="2">
        <v>999.99</v>
      </c>
      <c r="E13" s="2">
        <v>6.4812170000000002E-2</v>
      </c>
      <c r="F13" s="2">
        <v>4.4810089999999997E-2</v>
      </c>
      <c r="G13" s="2">
        <v>4.3023840000000001E-2</v>
      </c>
      <c r="H13" s="2">
        <v>999.99</v>
      </c>
      <c r="I13" s="13">
        <v>8</v>
      </c>
      <c r="J13" s="13">
        <v>0</v>
      </c>
      <c r="K13" s="30">
        <v>6.4812170000000002E-2</v>
      </c>
      <c r="L13" s="2">
        <v>999.99</v>
      </c>
      <c r="M13" s="2">
        <v>999.99</v>
      </c>
      <c r="N13" s="2">
        <v>0.71270460000000002</v>
      </c>
      <c r="O13" s="2">
        <v>0.72978200000000004</v>
      </c>
      <c r="P13" s="2">
        <v>0.73519959999999995</v>
      </c>
      <c r="Q13" s="2">
        <v>999.99</v>
      </c>
      <c r="R13" s="13">
        <v>8</v>
      </c>
      <c r="S13" s="36">
        <v>0.71270460000000002</v>
      </c>
      <c r="T13" s="38">
        <f t="shared" si="0"/>
        <v>0.71</v>
      </c>
    </row>
    <row r="14" spans="1:20" x14ac:dyDescent="0.2">
      <c r="A14" s="1">
        <v>13</v>
      </c>
      <c r="B14" s="1" t="s">
        <v>32</v>
      </c>
      <c r="C14" s="2">
        <v>999.99</v>
      </c>
      <c r="D14" s="2">
        <v>999.99</v>
      </c>
      <c r="E14" s="2">
        <v>7.1309419999999998E-2</v>
      </c>
      <c r="F14" s="2">
        <v>999.99</v>
      </c>
      <c r="G14" s="2">
        <v>999.99</v>
      </c>
      <c r="H14" s="2">
        <v>6.249594E-2</v>
      </c>
      <c r="I14" s="13">
        <v>8</v>
      </c>
      <c r="J14" s="13">
        <v>0</v>
      </c>
      <c r="K14" s="30">
        <v>7.1309419999999998E-2</v>
      </c>
      <c r="L14" s="2">
        <v>999.99</v>
      </c>
      <c r="M14" s="2">
        <v>999.99</v>
      </c>
      <c r="N14" s="2">
        <v>0.70976019999999995</v>
      </c>
      <c r="O14" s="2">
        <v>999.99</v>
      </c>
      <c r="P14" s="2">
        <v>999.99</v>
      </c>
      <c r="Q14" s="2">
        <v>0.71959439999999997</v>
      </c>
      <c r="R14" s="13">
        <v>8</v>
      </c>
      <c r="S14" s="36">
        <v>0.70976019999999995</v>
      </c>
      <c r="T14" s="38">
        <f t="shared" si="0"/>
        <v>0.71</v>
      </c>
    </row>
    <row r="15" spans="1:20" x14ac:dyDescent="0.2">
      <c r="A15" s="1">
        <v>14</v>
      </c>
      <c r="B15" s="1" t="s">
        <v>32</v>
      </c>
      <c r="C15" s="2">
        <v>999.99</v>
      </c>
      <c r="D15" s="2">
        <v>999.99</v>
      </c>
      <c r="E15" s="2">
        <v>5.9217869999999999E-2</v>
      </c>
      <c r="F15" s="2">
        <v>5.5213529999999997E-2</v>
      </c>
      <c r="G15" s="2">
        <v>5.6626830000000003E-2</v>
      </c>
      <c r="H15" s="2">
        <v>999.99</v>
      </c>
      <c r="I15" s="13">
        <v>8</v>
      </c>
      <c r="J15" s="13">
        <v>0</v>
      </c>
      <c r="K15" s="30">
        <v>6.1141510000000003E-2</v>
      </c>
      <c r="L15" s="2">
        <v>999.99</v>
      </c>
      <c r="M15" s="2">
        <v>999.99</v>
      </c>
      <c r="N15" s="2">
        <v>0.72459989999999996</v>
      </c>
      <c r="O15" s="2">
        <v>0.73319749999999995</v>
      </c>
      <c r="P15" s="2">
        <v>0.73608289999999998</v>
      </c>
      <c r="Q15" s="2">
        <v>999.99</v>
      </c>
      <c r="R15" s="13">
        <v>8</v>
      </c>
      <c r="S15" s="36">
        <v>0.74</v>
      </c>
      <c r="T15" s="38">
        <f t="shared" si="0"/>
        <v>0.74</v>
      </c>
    </row>
    <row r="16" spans="1:20" x14ac:dyDescent="0.2">
      <c r="A16" s="1">
        <v>15</v>
      </c>
      <c r="B16" s="1" t="s">
        <v>32</v>
      </c>
      <c r="C16" s="2">
        <v>999.99</v>
      </c>
      <c r="D16" s="2">
        <v>999.99</v>
      </c>
      <c r="E16" s="2">
        <v>999.99</v>
      </c>
      <c r="F16" s="2">
        <v>6.3045530000000002E-2</v>
      </c>
      <c r="G16" s="2">
        <v>2.5377230000000001E-2</v>
      </c>
      <c r="H16" s="2">
        <v>999.99</v>
      </c>
      <c r="I16" s="13">
        <v>12</v>
      </c>
      <c r="J16" s="13">
        <v>0</v>
      </c>
      <c r="K16" s="30">
        <v>6.4360689999999998E-2</v>
      </c>
      <c r="L16" s="2">
        <v>999.99</v>
      </c>
      <c r="M16" s="2">
        <v>999.99</v>
      </c>
      <c r="N16" s="2">
        <v>999.99</v>
      </c>
      <c r="O16" s="2">
        <v>-0.74434659999999997</v>
      </c>
      <c r="P16" s="2">
        <v>0.73396300000000003</v>
      </c>
      <c r="Q16" s="2">
        <v>999.99</v>
      </c>
      <c r="R16" s="13">
        <v>12</v>
      </c>
      <c r="S16" s="36">
        <v>-0.74434659999999997</v>
      </c>
      <c r="T16" s="38">
        <f t="shared" si="0"/>
        <v>-0.74</v>
      </c>
    </row>
    <row r="17" spans="1:20" x14ac:dyDescent="0.2">
      <c r="A17" s="1">
        <v>16</v>
      </c>
      <c r="B17" s="1" t="s">
        <v>32</v>
      </c>
      <c r="C17" s="2">
        <v>999.99</v>
      </c>
      <c r="D17" s="2">
        <v>999.99</v>
      </c>
      <c r="E17" s="2">
        <v>5.0070679999999999E-2</v>
      </c>
      <c r="F17" s="2">
        <v>2.6535340000000001E-2</v>
      </c>
      <c r="G17" s="2">
        <v>2.7830870000000001E-2</v>
      </c>
      <c r="H17" s="2">
        <v>999.99</v>
      </c>
      <c r="I17" s="13">
        <v>8</v>
      </c>
      <c r="J17" s="13">
        <v>0</v>
      </c>
      <c r="K17" s="30">
        <v>5.4055390000000002E-2</v>
      </c>
      <c r="L17" s="2">
        <v>999.99</v>
      </c>
      <c r="M17" s="2">
        <v>999.99</v>
      </c>
      <c r="N17" s="2">
        <v>0.73549399999999998</v>
      </c>
      <c r="O17" s="2">
        <v>0.77241649999999995</v>
      </c>
      <c r="P17" s="2">
        <v>0.79208500000000004</v>
      </c>
      <c r="Q17" s="2">
        <v>999.99</v>
      </c>
      <c r="R17" s="13">
        <v>8</v>
      </c>
      <c r="S17" s="36">
        <v>0.73549399999999998</v>
      </c>
      <c r="T17" s="38">
        <f t="shared" si="0"/>
        <v>0.74</v>
      </c>
    </row>
    <row r="18" spans="1:20" x14ac:dyDescent="0.2">
      <c r="A18" s="1">
        <v>17</v>
      </c>
      <c r="B18" s="1" t="s">
        <v>32</v>
      </c>
      <c r="C18" s="2">
        <v>999.99</v>
      </c>
      <c r="D18" s="2">
        <v>999.99</v>
      </c>
      <c r="E18" s="2">
        <v>5.1091400000000002E-2</v>
      </c>
      <c r="F18" s="2">
        <v>2.2236570000000001E-2</v>
      </c>
      <c r="G18" s="2">
        <v>2.6633480000000001E-2</v>
      </c>
      <c r="H18" s="2">
        <v>999.99</v>
      </c>
      <c r="I18" s="13">
        <v>8</v>
      </c>
      <c r="J18" s="13">
        <v>0</v>
      </c>
      <c r="K18" s="30">
        <v>5.3054329999999997E-2</v>
      </c>
      <c r="L18" s="2">
        <v>999.99</v>
      </c>
      <c r="M18" s="2">
        <v>999.99</v>
      </c>
      <c r="N18" s="2">
        <v>0.80769000000000002</v>
      </c>
      <c r="O18" s="2">
        <v>0.868344</v>
      </c>
      <c r="P18" s="2">
        <v>0.89696339999999997</v>
      </c>
      <c r="Q18" s="2">
        <v>999.99</v>
      </c>
      <c r="R18" s="13">
        <v>8</v>
      </c>
      <c r="S18" s="36">
        <v>0.80769000000000002</v>
      </c>
      <c r="T18" s="38">
        <f t="shared" si="0"/>
        <v>0.81</v>
      </c>
    </row>
    <row r="19" spans="1:20" x14ac:dyDescent="0.2">
      <c r="A19" s="1">
        <v>18</v>
      </c>
      <c r="B19" s="1" t="s">
        <v>32</v>
      </c>
      <c r="C19" s="2">
        <v>999.99</v>
      </c>
      <c r="D19" s="2">
        <v>999.99</v>
      </c>
      <c r="E19" s="2">
        <v>3.6153629999999999E-2</v>
      </c>
      <c r="F19" s="2">
        <v>2.0882169999999999E-2</v>
      </c>
      <c r="G19" s="2">
        <v>2.288434E-2</v>
      </c>
      <c r="H19" s="2">
        <v>999.99</v>
      </c>
      <c r="I19" s="13">
        <v>8</v>
      </c>
      <c r="J19" s="13">
        <v>0</v>
      </c>
      <c r="K19" s="30">
        <v>4.0256109999999998E-2</v>
      </c>
      <c r="L19" s="2">
        <v>999.99</v>
      </c>
      <c r="M19" s="2">
        <v>999.99</v>
      </c>
      <c r="N19" s="2">
        <v>0.8795326</v>
      </c>
      <c r="O19" s="2">
        <v>0.88818909999999995</v>
      </c>
      <c r="P19" s="2">
        <v>0.90143879999999998</v>
      </c>
      <c r="Q19" s="2">
        <v>999.99</v>
      </c>
      <c r="R19" s="13">
        <v>8</v>
      </c>
      <c r="S19" s="36">
        <v>0.8795326</v>
      </c>
      <c r="T19" s="38">
        <f t="shared" si="0"/>
        <v>0.88</v>
      </c>
    </row>
    <row r="20" spans="1:20" x14ac:dyDescent="0.2">
      <c r="A20" s="1">
        <v>19</v>
      </c>
      <c r="B20" s="1" t="s">
        <v>32</v>
      </c>
      <c r="C20" s="2">
        <v>999.99</v>
      </c>
      <c r="D20" s="2">
        <v>999.99</v>
      </c>
      <c r="E20" s="2">
        <v>5.4919099999999998E-2</v>
      </c>
      <c r="F20" s="2">
        <v>999.99</v>
      </c>
      <c r="G20" s="2">
        <v>999.99</v>
      </c>
      <c r="H20" s="2">
        <v>999.99</v>
      </c>
      <c r="I20" s="13">
        <v>8</v>
      </c>
      <c r="J20" s="13">
        <v>0</v>
      </c>
      <c r="K20" s="30">
        <v>5.5763130000000001E-2</v>
      </c>
      <c r="L20" s="2">
        <v>999.99</v>
      </c>
      <c r="M20" s="2">
        <v>999.99</v>
      </c>
      <c r="N20" s="2">
        <v>0.88041599999999998</v>
      </c>
      <c r="O20" s="2">
        <v>999.99</v>
      </c>
      <c r="P20" s="2">
        <v>999.99</v>
      </c>
      <c r="Q20" s="2">
        <v>999.99</v>
      </c>
      <c r="R20" s="13">
        <v>8</v>
      </c>
      <c r="S20" s="36">
        <v>0.88041599999999998</v>
      </c>
      <c r="T20" s="38">
        <f t="shared" si="0"/>
        <v>0.88</v>
      </c>
    </row>
    <row r="21" spans="1:20" x14ac:dyDescent="0.2">
      <c r="A21" s="1">
        <v>20</v>
      </c>
      <c r="B21" s="1" t="s">
        <v>32</v>
      </c>
      <c r="C21" s="2">
        <v>3.9804659999999999E-2</v>
      </c>
      <c r="D21" s="2">
        <v>999.99</v>
      </c>
      <c r="E21" s="2">
        <v>2.45528E-2</v>
      </c>
      <c r="F21" s="2">
        <v>2.3198400000000001E-2</v>
      </c>
      <c r="G21" s="2">
        <v>999.99</v>
      </c>
      <c r="H21" s="2">
        <v>999.99</v>
      </c>
      <c r="I21" s="13">
        <v>0</v>
      </c>
      <c r="J21" s="13">
        <v>0</v>
      </c>
      <c r="K21" s="30">
        <v>4.4633430000000002E-2</v>
      </c>
      <c r="L21" s="2">
        <v>0.88141700000000001</v>
      </c>
      <c r="M21" s="2">
        <v>999.99</v>
      </c>
      <c r="N21" s="2">
        <v>0.86928620000000001</v>
      </c>
      <c r="O21" s="2">
        <v>0.87358499999999994</v>
      </c>
      <c r="P21" s="2">
        <v>999.99</v>
      </c>
      <c r="Q21" s="2">
        <v>999.99</v>
      </c>
      <c r="R21" s="13">
        <v>8</v>
      </c>
      <c r="S21" s="36">
        <v>0.86928620000000001</v>
      </c>
      <c r="T21" s="38">
        <f t="shared" si="0"/>
        <v>0.87</v>
      </c>
    </row>
    <row r="22" spans="1:20" x14ac:dyDescent="0.2">
      <c r="A22" s="1">
        <v>21</v>
      </c>
      <c r="B22" s="1" t="s">
        <v>32</v>
      </c>
      <c r="C22" s="2">
        <v>999.99</v>
      </c>
      <c r="D22" s="2">
        <v>999.99</v>
      </c>
      <c r="E22" s="2">
        <v>4.2788270000000003E-2</v>
      </c>
      <c r="F22" s="2">
        <v>999.99</v>
      </c>
      <c r="G22" s="2">
        <v>999.99</v>
      </c>
      <c r="H22" s="2">
        <v>3.2247440000000002E-2</v>
      </c>
      <c r="I22" s="13">
        <v>8</v>
      </c>
      <c r="J22" s="13">
        <v>0</v>
      </c>
      <c r="K22" s="30">
        <v>4.5320439999999997E-2</v>
      </c>
      <c r="L22" s="2">
        <v>999.99</v>
      </c>
      <c r="M22" s="2">
        <v>999.99</v>
      </c>
      <c r="N22" s="2">
        <v>0.86192539999999995</v>
      </c>
      <c r="O22" s="2">
        <v>999.99</v>
      </c>
      <c r="P22" s="2">
        <v>999.99</v>
      </c>
      <c r="Q22" s="2">
        <v>0.85762649999999996</v>
      </c>
      <c r="R22" s="13">
        <v>20</v>
      </c>
      <c r="S22" s="36">
        <v>0.85762649999999996</v>
      </c>
      <c r="T22" s="38">
        <f t="shared" si="0"/>
        <v>0.86</v>
      </c>
    </row>
    <row r="23" spans="1:20" x14ac:dyDescent="0.2">
      <c r="A23" s="1">
        <v>22</v>
      </c>
      <c r="B23" s="1" t="s">
        <v>32</v>
      </c>
      <c r="C23" s="2">
        <v>999.99</v>
      </c>
      <c r="D23" s="2">
        <v>999.99</v>
      </c>
      <c r="E23" s="2">
        <v>4.4123049999999997E-2</v>
      </c>
      <c r="F23" s="2">
        <v>999.99</v>
      </c>
      <c r="G23" s="2">
        <v>2.8733829999999998E-2</v>
      </c>
      <c r="H23" s="2">
        <v>1.8879980000000001E-2</v>
      </c>
      <c r="I23" s="13">
        <v>8</v>
      </c>
      <c r="J23" s="13">
        <v>0</v>
      </c>
      <c r="K23" s="30">
        <v>4.7754459999999999E-2</v>
      </c>
      <c r="L23" s="2">
        <v>999.99</v>
      </c>
      <c r="M23" s="2">
        <v>999.99</v>
      </c>
      <c r="N23" s="2">
        <v>0.8476745</v>
      </c>
      <c r="O23" s="2">
        <v>999.99</v>
      </c>
      <c r="P23" s="2">
        <v>0.86740189999999995</v>
      </c>
      <c r="Q23" s="2">
        <v>0.87617619999999996</v>
      </c>
      <c r="R23" s="13">
        <v>8</v>
      </c>
      <c r="S23" s="36">
        <v>0.8476745</v>
      </c>
      <c r="T23" s="38">
        <f t="shared" si="0"/>
        <v>0.85</v>
      </c>
    </row>
    <row r="24" spans="1:20" x14ac:dyDescent="0.2">
      <c r="A24" s="1">
        <v>23</v>
      </c>
      <c r="B24" s="1" t="s">
        <v>32</v>
      </c>
      <c r="C24" s="2">
        <v>2.49454E-2</v>
      </c>
      <c r="D24" s="2">
        <v>999.99</v>
      </c>
      <c r="E24" s="2">
        <v>3.0480810000000001E-2</v>
      </c>
      <c r="F24" s="2">
        <v>2.3610599999999999E-2</v>
      </c>
      <c r="G24" s="2">
        <v>2.573056E-2</v>
      </c>
      <c r="H24" s="2">
        <v>999.99</v>
      </c>
      <c r="I24" s="13">
        <v>8</v>
      </c>
      <c r="J24" s="13">
        <v>0</v>
      </c>
      <c r="K24" s="30">
        <v>3.0520080000000002E-2</v>
      </c>
      <c r="L24" s="2">
        <v>0.86310319999999996</v>
      </c>
      <c r="M24" s="2">
        <v>999.99</v>
      </c>
      <c r="N24" s="2">
        <v>0.85550669999999995</v>
      </c>
      <c r="O24" s="2">
        <v>0.8590989</v>
      </c>
      <c r="P24" s="2">
        <v>0.86121859999999995</v>
      </c>
      <c r="Q24" s="2">
        <v>999.99</v>
      </c>
      <c r="R24" s="13">
        <v>8</v>
      </c>
      <c r="S24" s="36">
        <v>0.85550669999999995</v>
      </c>
      <c r="T24" s="38">
        <f t="shared" si="0"/>
        <v>0.86</v>
      </c>
    </row>
    <row r="25" spans="1:20" x14ac:dyDescent="0.2">
      <c r="A25" s="1">
        <v>24</v>
      </c>
      <c r="B25" s="1" t="s">
        <v>32</v>
      </c>
      <c r="C25" s="2">
        <v>999.99</v>
      </c>
      <c r="D25" s="2">
        <v>999.99</v>
      </c>
      <c r="E25" s="2">
        <v>999.99</v>
      </c>
      <c r="F25" s="2">
        <v>3.1795959999999998E-2</v>
      </c>
      <c r="G25" s="2">
        <v>2.3728389999999999E-2</v>
      </c>
      <c r="H25" s="2">
        <v>999.99</v>
      </c>
      <c r="I25" s="13">
        <v>12</v>
      </c>
      <c r="J25" s="13">
        <v>0</v>
      </c>
      <c r="K25" s="30">
        <v>3.2325960000000001E-2</v>
      </c>
      <c r="L25" s="2">
        <v>999.99</v>
      </c>
      <c r="M25" s="2">
        <v>999.99</v>
      </c>
      <c r="N25" s="2">
        <v>999.99</v>
      </c>
      <c r="O25" s="2">
        <v>0.8406671</v>
      </c>
      <c r="P25" s="2">
        <v>0.86204309999999995</v>
      </c>
      <c r="Q25" s="2">
        <v>999.99</v>
      </c>
      <c r="R25" s="13">
        <v>12</v>
      </c>
      <c r="S25" s="36">
        <v>0.8406671</v>
      </c>
      <c r="T25" s="38">
        <f t="shared" si="0"/>
        <v>0.84</v>
      </c>
    </row>
    <row r="26" spans="1:20" x14ac:dyDescent="0.2">
      <c r="A26" s="1">
        <v>25</v>
      </c>
      <c r="B26" s="1" t="s">
        <v>32</v>
      </c>
      <c r="C26" s="2">
        <v>999.99</v>
      </c>
      <c r="D26" s="2">
        <v>999.99</v>
      </c>
      <c r="E26" s="2">
        <v>5.3427280000000001E-2</v>
      </c>
      <c r="F26" s="2">
        <v>2.7143859999999999E-2</v>
      </c>
      <c r="G26" s="2">
        <v>999.99</v>
      </c>
      <c r="H26" s="2">
        <v>999.99</v>
      </c>
      <c r="I26" s="13">
        <v>8</v>
      </c>
      <c r="J26" s="13">
        <v>0</v>
      </c>
      <c r="K26" s="30">
        <v>5.7353090000000002E-2</v>
      </c>
      <c r="L26" s="2">
        <v>999.99</v>
      </c>
      <c r="M26" s="2">
        <v>999.99</v>
      </c>
      <c r="N26" s="2">
        <v>0.85091349999999999</v>
      </c>
      <c r="O26" s="2">
        <v>0.86274980000000001</v>
      </c>
      <c r="P26" s="2">
        <v>999.99</v>
      </c>
      <c r="Q26" s="2">
        <v>999.99</v>
      </c>
      <c r="R26" s="13">
        <v>8</v>
      </c>
      <c r="S26" s="36">
        <v>0.85091349999999999</v>
      </c>
      <c r="T26" s="38">
        <f t="shared" si="0"/>
        <v>0.85</v>
      </c>
    </row>
    <row r="27" spans="1:20" x14ac:dyDescent="0.2">
      <c r="A27" s="1">
        <v>26</v>
      </c>
      <c r="B27" s="1" t="s">
        <v>32</v>
      </c>
      <c r="C27" s="2">
        <v>999.99</v>
      </c>
      <c r="D27" s="2">
        <v>999.99</v>
      </c>
      <c r="E27" s="2">
        <v>6.7324709999999996E-2</v>
      </c>
      <c r="F27" s="2">
        <v>999.99</v>
      </c>
      <c r="G27" s="2">
        <v>999.99</v>
      </c>
      <c r="H27" s="2">
        <v>999.99</v>
      </c>
      <c r="I27" s="13">
        <v>8</v>
      </c>
      <c r="J27" s="13">
        <v>0</v>
      </c>
      <c r="K27" s="30">
        <v>7.074018E-2</v>
      </c>
      <c r="L27" s="2">
        <v>999.99</v>
      </c>
      <c r="M27" s="2">
        <v>999.99</v>
      </c>
      <c r="N27" s="2">
        <v>0.85203220000000002</v>
      </c>
      <c r="O27" s="2">
        <v>999.99</v>
      </c>
      <c r="P27" s="2">
        <v>999.99</v>
      </c>
      <c r="Q27" s="2">
        <v>999.99</v>
      </c>
      <c r="R27" s="13">
        <v>8</v>
      </c>
      <c r="S27" s="36">
        <v>0.85203220000000002</v>
      </c>
      <c r="T27" s="38">
        <f t="shared" si="0"/>
        <v>0.85</v>
      </c>
    </row>
    <row r="28" spans="1:20" x14ac:dyDescent="0.2">
      <c r="A28" s="1">
        <v>27</v>
      </c>
      <c r="B28" s="1" t="s">
        <v>32</v>
      </c>
      <c r="C28" s="2">
        <v>5.7765320000000002E-2</v>
      </c>
      <c r="D28" s="2">
        <v>999.99</v>
      </c>
      <c r="E28" s="2">
        <v>999.99</v>
      </c>
      <c r="F28" s="2">
        <v>3.2188540000000002E-2</v>
      </c>
      <c r="G28" s="2">
        <v>2.590723E-2</v>
      </c>
      <c r="H28" s="2">
        <v>2.8243069999999999E-2</v>
      </c>
      <c r="I28" s="13">
        <v>0</v>
      </c>
      <c r="J28" s="13">
        <v>0</v>
      </c>
      <c r="K28" s="30">
        <v>5.8275670000000002E-2</v>
      </c>
      <c r="L28" s="2">
        <v>0.82423729999999995</v>
      </c>
      <c r="M28" s="2">
        <v>999.99</v>
      </c>
      <c r="N28" s="2">
        <v>999.99</v>
      </c>
      <c r="O28" s="2">
        <v>0.82093970000000005</v>
      </c>
      <c r="P28" s="2">
        <v>0.8237662</v>
      </c>
      <c r="Q28" s="2">
        <v>0.8222353</v>
      </c>
      <c r="R28" s="13">
        <v>12</v>
      </c>
      <c r="S28" s="36">
        <v>0.82093970000000005</v>
      </c>
      <c r="T28" s="38">
        <f t="shared" si="0"/>
        <v>0.82</v>
      </c>
    </row>
    <row r="29" spans="1:20" x14ac:dyDescent="0.2">
      <c r="A29" s="1">
        <v>28</v>
      </c>
      <c r="B29" s="1" t="s">
        <v>32</v>
      </c>
      <c r="C29" s="2">
        <v>999.99</v>
      </c>
      <c r="D29" s="2">
        <v>999.99</v>
      </c>
      <c r="E29" s="2">
        <v>0.02</v>
      </c>
      <c r="F29" s="2">
        <v>0.02</v>
      </c>
      <c r="G29" s="2">
        <v>999.99</v>
      </c>
      <c r="H29" s="2">
        <v>999.99</v>
      </c>
      <c r="I29" s="13">
        <v>0</v>
      </c>
      <c r="J29" s="13">
        <v>0</v>
      </c>
      <c r="K29" s="30">
        <v>0.02</v>
      </c>
      <c r="L29" s="2">
        <v>999.99</v>
      </c>
      <c r="M29" s="2">
        <v>999.99</v>
      </c>
      <c r="N29" s="2">
        <v>0.79</v>
      </c>
      <c r="O29" s="2">
        <v>0.79</v>
      </c>
      <c r="P29" s="2">
        <v>999.99</v>
      </c>
      <c r="Q29" s="2">
        <v>999.99</v>
      </c>
      <c r="R29" s="13">
        <v>12</v>
      </c>
      <c r="S29" s="36">
        <v>0.79</v>
      </c>
      <c r="T29" s="38">
        <v>0.79</v>
      </c>
    </row>
    <row r="30" spans="1:20" x14ac:dyDescent="0.2">
      <c r="A30" s="1">
        <v>29</v>
      </c>
      <c r="B30" s="1" t="s">
        <v>32</v>
      </c>
      <c r="C30" s="2">
        <v>999.99</v>
      </c>
      <c r="D30" s="2">
        <v>999.99</v>
      </c>
      <c r="E30" s="2">
        <v>4.7283360000000003E-2</v>
      </c>
      <c r="F30" s="2">
        <v>999.99</v>
      </c>
      <c r="G30" s="2">
        <v>999.99</v>
      </c>
      <c r="H30" s="2">
        <v>999.99</v>
      </c>
      <c r="I30" s="13">
        <v>8</v>
      </c>
      <c r="J30" s="13">
        <v>0</v>
      </c>
      <c r="K30" s="30">
        <v>4.8755529999999998E-2</v>
      </c>
      <c r="L30" s="2">
        <v>999.99</v>
      </c>
      <c r="M30" s="2">
        <v>999.99</v>
      </c>
      <c r="N30" s="2">
        <v>0.77418310000000001</v>
      </c>
      <c r="O30" s="2">
        <v>999.99</v>
      </c>
      <c r="P30" s="2">
        <v>999.99</v>
      </c>
      <c r="Q30" s="2">
        <v>999.99</v>
      </c>
      <c r="R30" s="13">
        <v>8</v>
      </c>
      <c r="S30" s="36">
        <v>0.77418310000000001</v>
      </c>
      <c r="T30" s="38">
        <f t="shared" ref="T30:T45" si="1">IF(S30=0,"",ROUND(S30,2))</f>
        <v>0.77</v>
      </c>
    </row>
    <row r="31" spans="1:20" x14ac:dyDescent="0.2">
      <c r="A31" s="1">
        <v>30</v>
      </c>
      <c r="B31" s="1" t="s">
        <v>32</v>
      </c>
      <c r="C31" s="2">
        <v>3.6271390000000001E-2</v>
      </c>
      <c r="D31" s="2">
        <v>999.99</v>
      </c>
      <c r="E31" s="2">
        <v>999.99</v>
      </c>
      <c r="F31" s="2">
        <v>5.611646E-2</v>
      </c>
      <c r="G31" s="2">
        <v>3.5721799999999998E-2</v>
      </c>
      <c r="H31" s="2">
        <v>3.1265960000000002E-2</v>
      </c>
      <c r="I31" s="13">
        <v>12</v>
      </c>
      <c r="J31" s="13">
        <v>0</v>
      </c>
      <c r="K31" s="30">
        <v>7.4646370000000004E-2</v>
      </c>
      <c r="L31" s="2">
        <v>0.7843118</v>
      </c>
      <c r="M31" s="2">
        <v>999.99</v>
      </c>
      <c r="N31" s="2">
        <v>999.99</v>
      </c>
      <c r="O31" s="2">
        <v>0.77483080000000004</v>
      </c>
      <c r="P31" s="2">
        <v>0.78825710000000004</v>
      </c>
      <c r="Q31" s="2">
        <v>0.80044689999999996</v>
      </c>
      <c r="R31" s="13">
        <v>12</v>
      </c>
      <c r="S31" s="36">
        <v>0.77483080000000004</v>
      </c>
      <c r="T31" s="38">
        <f t="shared" si="1"/>
        <v>0.77</v>
      </c>
    </row>
    <row r="32" spans="1:20" x14ac:dyDescent="0.2">
      <c r="A32" s="1">
        <v>31</v>
      </c>
      <c r="B32" s="1" t="s">
        <v>32</v>
      </c>
      <c r="C32" s="2">
        <v>999.99</v>
      </c>
      <c r="D32" s="2">
        <v>999.99</v>
      </c>
      <c r="E32" s="2">
        <v>4.0334630000000003E-2</v>
      </c>
      <c r="F32" s="2">
        <v>3.1697820000000002E-2</v>
      </c>
      <c r="G32" s="2">
        <v>3.6467680000000002E-2</v>
      </c>
      <c r="H32" s="2">
        <v>999.99</v>
      </c>
      <c r="I32" s="13">
        <v>8</v>
      </c>
      <c r="J32" s="13">
        <v>0</v>
      </c>
      <c r="K32" s="30">
        <v>4.1198310000000002E-2</v>
      </c>
      <c r="L32" s="2">
        <v>999.99</v>
      </c>
      <c r="M32" s="2">
        <v>999.99</v>
      </c>
      <c r="N32" s="2">
        <v>0.78254509999999999</v>
      </c>
      <c r="O32" s="2">
        <v>0.8146388</v>
      </c>
      <c r="P32" s="2">
        <v>0.81399100000000002</v>
      </c>
      <c r="Q32" s="2">
        <v>999.99</v>
      </c>
      <c r="R32" s="13">
        <v>8</v>
      </c>
      <c r="S32" s="36">
        <v>0.78254509999999999</v>
      </c>
      <c r="T32" s="38">
        <f t="shared" si="1"/>
        <v>0.78</v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3"/>
      <c r="J33" s="13"/>
      <c r="K33" s="30"/>
      <c r="L33" s="2"/>
      <c r="M33" s="2"/>
      <c r="N33" s="2"/>
      <c r="O33" s="2"/>
      <c r="P33" s="2"/>
      <c r="Q33" s="2"/>
      <c r="R33" s="13"/>
      <c r="S33" s="36"/>
      <c r="T33" s="38" t="str">
        <f t="shared" si="1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3"/>
      <c r="J34" s="13"/>
      <c r="K34" s="30"/>
      <c r="L34" s="2"/>
      <c r="M34" s="2"/>
      <c r="N34" s="2"/>
      <c r="O34" s="2"/>
      <c r="P34" s="2"/>
      <c r="Q34" s="2"/>
      <c r="R34" s="13"/>
      <c r="S34" s="36"/>
      <c r="T34" s="38" t="str">
        <f t="shared" si="1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3"/>
      <c r="J35" s="13"/>
      <c r="K35" s="30"/>
      <c r="L35" s="2"/>
      <c r="M35" s="2"/>
      <c r="N35" s="2"/>
      <c r="O35" s="2"/>
      <c r="P35" s="2"/>
      <c r="Q35" s="2"/>
      <c r="R35" s="13"/>
      <c r="S35" s="36"/>
      <c r="T35" s="38" t="str">
        <f t="shared" si="1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3"/>
      <c r="J36" s="13"/>
      <c r="K36" s="30"/>
      <c r="L36" s="2"/>
      <c r="M36" s="2"/>
      <c r="N36" s="2"/>
      <c r="O36" s="2"/>
      <c r="P36" s="2"/>
      <c r="Q36" s="2"/>
      <c r="R36" s="13"/>
      <c r="S36" s="36"/>
      <c r="T36" s="38" t="str">
        <f t="shared" si="1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3"/>
      <c r="J37" s="13"/>
      <c r="K37" s="30"/>
      <c r="L37" s="2"/>
      <c r="M37" s="2"/>
      <c r="N37" s="2"/>
      <c r="O37" s="2"/>
      <c r="P37" s="2"/>
      <c r="Q37" s="2"/>
      <c r="R37" s="13"/>
      <c r="S37" s="36"/>
      <c r="T37" s="38" t="str">
        <f t="shared" si="1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3"/>
      <c r="J38" s="13"/>
      <c r="K38" s="30"/>
      <c r="L38" s="2"/>
      <c r="M38" s="2"/>
      <c r="N38" s="2"/>
      <c r="O38" s="2"/>
      <c r="P38" s="2"/>
      <c r="Q38" s="2"/>
      <c r="R38" s="13"/>
      <c r="S38" s="36"/>
      <c r="T38" s="38" t="str">
        <f t="shared" si="1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3"/>
      <c r="J39" s="13"/>
      <c r="K39" s="30"/>
      <c r="L39" s="2"/>
      <c r="M39" s="2"/>
      <c r="N39" s="2"/>
      <c r="O39" s="2"/>
      <c r="P39" s="2"/>
      <c r="Q39" s="2"/>
      <c r="R39" s="13"/>
      <c r="S39" s="36"/>
      <c r="T39" s="38" t="str">
        <f t="shared" si="1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3"/>
      <c r="J40" s="13"/>
      <c r="K40" s="30"/>
      <c r="L40" s="2"/>
      <c r="M40" s="2"/>
      <c r="N40" s="2"/>
      <c r="O40" s="2"/>
      <c r="P40" s="2"/>
      <c r="Q40" s="2"/>
      <c r="R40" s="13"/>
      <c r="S40" s="36"/>
      <c r="T40" s="38" t="str">
        <f t="shared" si="1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2"/>
      <c r="S41" s="36"/>
      <c r="T41" s="38" t="str">
        <f t="shared" si="1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2"/>
      <c r="S42" s="36"/>
      <c r="T42" s="38" t="str">
        <f t="shared" si="1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36"/>
      <c r="T43" s="38" t="str">
        <f t="shared" si="1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36"/>
      <c r="T44" s="38" t="str">
        <f t="shared" si="1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2"/>
      <c r="S45" s="36"/>
      <c r="T45" s="38" t="str">
        <f t="shared" si="1"/>
        <v/>
      </c>
    </row>
    <row r="217" spans="1:2" x14ac:dyDescent="0.2">
      <c r="A217" s="24"/>
      <c r="B217" s="24"/>
    </row>
    <row r="241" spans="1:2" x14ac:dyDescent="0.2">
      <c r="A241" s="5"/>
      <c r="B241" s="5"/>
    </row>
    <row r="385" spans="1:2" x14ac:dyDescent="0.2">
      <c r="A385" s="5"/>
      <c r="B385" s="5"/>
    </row>
    <row r="457" spans="1:2" x14ac:dyDescent="0.2">
      <c r="A457" s="5"/>
      <c r="B457" s="5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WTP1</cp:lastModifiedBy>
  <cp:lastPrinted>2014-05-02T21:30:11Z</cp:lastPrinted>
  <dcterms:created xsi:type="dcterms:W3CDTF">2008-11-12T20:47:25Z</dcterms:created>
  <dcterms:modified xsi:type="dcterms:W3CDTF">2026-02-02T19:13:46Z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