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DianeProofs\swtr3812\2-6_3\"/>
    </mc:Choice>
  </mc:AlternateContent>
  <xr:revisionPtr revIDLastSave="0" documentId="13_ncr:1_{6DC24381-1B99-49F4-A1A1-A3ADDBDC2CB8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765" yWindow="855" windowWidth="18840" windowHeight="14595" tabRatio="680" activeTab="1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A44" i="31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H12" i="32" s="1"/>
  <c r="D13" i="32"/>
  <c r="H13" i="32" s="1"/>
  <c r="D14" i="32"/>
  <c r="D15" i="32"/>
  <c r="D16" i="32"/>
  <c r="D17" i="32"/>
  <c r="D18" i="32"/>
  <c r="D19" i="32"/>
  <c r="H19" i="32" s="1"/>
  <c r="D20" i="32"/>
  <c r="H20" i="32" s="1"/>
  <c r="D21" i="32"/>
  <c r="H21" i="32" s="1"/>
  <c r="D22" i="32"/>
  <c r="H22" i="32" s="1"/>
  <c r="D23" i="32"/>
  <c r="D24" i="32"/>
  <c r="D25" i="32"/>
  <c r="H25" i="32" s="1"/>
  <c r="D26" i="32"/>
  <c r="H26" i="32" s="1"/>
  <c r="D27" i="32"/>
  <c r="H27" i="32" s="1"/>
  <c r="D28" i="32"/>
  <c r="H28" i="32" s="1"/>
  <c r="D29" i="32"/>
  <c r="H29" i="32" s="1"/>
  <c r="D30" i="32"/>
  <c r="H30" i="32" s="1"/>
  <c r="D31" i="32"/>
  <c r="D32" i="32"/>
  <c r="H32" i="32" s="1"/>
  <c r="D33" i="32"/>
  <c r="D34" i="32"/>
  <c r="D35" i="32"/>
  <c r="D36" i="32"/>
  <c r="H36" i="32" s="1"/>
  <c r="D37" i="32"/>
  <c r="H37" i="32" s="1"/>
  <c r="D38" i="32"/>
  <c r="H38" i="32" s="1"/>
  <c r="B3" i="29"/>
  <c r="E9" i="29"/>
  <c r="B4" i="29"/>
  <c r="C4" i="29" s="1"/>
  <c r="B7" i="29"/>
  <c r="B6" i="29"/>
  <c r="B5" i="29"/>
  <c r="C44" i="31"/>
  <c r="H44" i="31"/>
  <c r="H35" i="32" l="1"/>
  <c r="H33" i="32"/>
  <c r="H18" i="32"/>
  <c r="H17" i="32"/>
  <c r="H34" i="32"/>
  <c r="H24" i="32"/>
  <c r="H16" i="32"/>
  <c r="H31" i="32"/>
  <c r="H23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<sst xmlns="http://schemas.openxmlformats.org/spreadsheetml/2006/main" count="172" uniqueCount="139">
  <si>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</si>
  <si>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</si>
  <si>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</si>
  <si>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</si>
  <si>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</si>
  <si>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</si>
  <si>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</si>
  <si>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</si>
  <si>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</si>
  <si>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</si>
  <si>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</si>
  <si>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</si>
  <si>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</si>
  <si>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</si>
  <si>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</si>
  <si>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</si>
  <si>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</si>
  <si>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</si>
  <si>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</si>
  <si>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</si>
  <si>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</si>
  <si>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</si>
  <si>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</si>
  <si>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</si>
  <si>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</si>
  <si>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</si>
  <si>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</si>
  <si>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</si>
  <si>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</si>
  <si>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</si>
  <si>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</si>
  <si>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</si>
  <si>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</si>
  <si>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</si>
  <si>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</si>
  <si>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</si>
  <si>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</si>
  <si>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</si>
  <si>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</si>
  <si>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</si>
  <si>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</si>
  <si>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</si>
  <si>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</si>
  <si>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</si>
  <si>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</si>
  <si>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</si>
  <si>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All turbidity readings ≤ 5 NTU? [Y/N]</t>
  </si>
  <si>
    <t>95% of daily turbidity readings ≤ 1 NTU? [Y/N]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</si>
  <si>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</si>
  <si>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</si>
  <si>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</si>
  <si>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</si>
  <si>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</si>
  <si>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</si>
  <si>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</si>
  <si>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</si>
  <si>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</si>
  <si>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</si>
  <si>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</si>
  <si>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</si>
  <si>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</si>
  <si>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</si>
  <si>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</si>
  <si>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</si>
  <si>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</si>
  <si>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All IFE turbidity readings ≤ 0.15 NTU?  [Y/N]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</si>
  <si>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</si>
  <si>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</si>
  <si>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</si>
  <si>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</si>
  <si>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</si>
  <si>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</si>
  <si>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</si>
  <si>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</si>
  <si>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</si>
  <si>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</si>
  <si>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</si>
  <si>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</si>
  <si>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</si>
  <si>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</si>
  <si>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</si>
  <si>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</si>
  <si>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</si>
  <si>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</si>
  <si>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</si>
  <si>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</si>
  <si>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</si>
  <si>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</si>
  <si>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</si>
  <si>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</si>
  <si>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</si>
  <si>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</si>
  <si>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</si>
  <si>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</si>
  <si>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</si>
  <si>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</si>
  <si>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</si>
  <si>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</si>
  <si>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</si>
  <si>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</si>
  <si>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</si>
  <si>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</si>
  <si>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</si>
  <si>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</si>
  <si>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</si>
  <si>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</si>
  <si>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</si>
  <si>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</si>
  <si>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</si>
  <si>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</si>
  <si>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</si>
  <si>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</si>
  <si>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</si>
  <si>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</si>
  <si>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</si>
  <si>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r>
      <t xml:space="preserve">Performance std met?   [Y/N]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</si>
  <si>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</si>
  <si>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</si>
  <si>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</si>
  <si>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</si>
  <si>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</si>
  <si>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</si>
  <si>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</si>
  <si>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</si>
  <si>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</si>
  <si>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</si>
  <si>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 xml:space="preserve">   The optimization goal for membranes is 0.05 NTU</t>
  </si>
  <si>
    <t>Highest IFE [NTU]</t>
  </si>
  <si>
    <t>psi</t>
  </si>
  <si>
    <r>
      <t>Minimum test pressure</t>
    </r>
    <r>
      <rPr>
        <b/>
        <sz val="10"/>
        <rFont val="Arial"/>
        <family val="2"/>
      </rPr>
      <t xml:space="preserve"> req'd</t>
    </r>
    <r>
      <rPr>
        <sz val="10"/>
        <rFont val="Arial"/>
        <family val="2"/>
      </rPr>
      <t>:</t>
    </r>
  </si>
  <si>
    <r>
      <t xml:space="preserve">Minimum test pressure </t>
    </r>
    <r>
      <rPr>
        <b/>
        <sz val="10"/>
        <rFont val="Arial"/>
        <family val="2"/>
      </rPr>
      <t>applied</t>
    </r>
    <r>
      <rPr>
        <sz val="10"/>
        <rFont val="Arial"/>
        <family val="2"/>
      </rPr>
      <t>:</t>
    </r>
  </si>
  <si>
    <t>City of Warrenton</t>
  </si>
  <si>
    <t>Clatsop</t>
  </si>
  <si>
    <t>00932</t>
  </si>
  <si>
    <t>T-08549</t>
  </si>
  <si>
    <t>503-738-7809</t>
  </si>
  <si>
    <t>Dave G Davis</t>
  </si>
  <si>
    <t>Jan. 2025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</si>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</sst>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6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vertAlign val="subscript"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63" fillId="5" borderId="0" applyNumberFormat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</cellStyleXfs>
  <cellXfs count="230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63" fillId="0" borderId="0" xfId="5" applyFill="1"/>
    <xf numFmtId="0" fontId="65" fillId="0" borderId="0" xfId="7" applyFill="1"/>
    <xf numFmtId="0" fontId="64" fillId="0" borderId="0" xfId="6" applyFill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5" fillId="0" borderId="19" xfId="0" applyNumberFormat="1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8">
    <cellStyle name="Bad" xfId="6" builtinId="27"/>
    <cellStyle name="Comma" xfId="4" builtinId="3"/>
    <cellStyle name="Good" xfId="5" builtinId="26"/>
    <cellStyle name="Hyperlink" xfId="3" builtinId="8"/>
    <cellStyle name="Neutral" xfId="7" builtinId="28"/>
    <cellStyle name="Normal" xfId="0" builtinId="0"/>
    <cellStyle name="Normal 2" xfId="1" xr:uid="{00000000-0005-0000-0000-000001000000}"/>
    <cellStyle name="Normal 3" xfId="2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60000"/>
      </font>
      <fill>
        <patternFill>
          <bgColor theme="5" tint="0.3999450666829432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6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760000"/>
      <color rgb="FFFFC7CE"/>
      <color rgb="FFFFEB9C"/>
      <color rgb="FFC6EFCE"/>
      <color rgb="FFFFCC66"/>
      <color rgb="FFCCFF99"/>
      <color rgb="FF006600"/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190499</xdr:rowOff>
    </xdr:from>
    <xdr:to>
      <xdr:col>2</xdr:col>
      <xdr:colOff>605117</xdr:colOff>
      <xdr:row>48</xdr:row>
      <xdr:rowOff>80478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301F36-AF45-4966-B1B2-4779EC64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9256058"/>
          <a:ext cx="1490382" cy="2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sheetPr>
    <pageSetUpPr fitToPage="1"/>
  </sheetPr>
  <dimension ref="A1:I50"/>
  <sheetViews>
    <sheetView showGridLines="0" view="pageLayout" topLeftCell="A21" zoomScale="85" zoomScaleNormal="100" zoomScalePageLayoutView="85" workbookViewId="0">
      <selection activeCell="H11" sqref="H11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9" ht="17.25">
      <c r="A1" s="67" t="s">
        <v>76</v>
      </c>
      <c r="B1" s="68"/>
      <c r="C1" s="68"/>
      <c r="D1" s="68"/>
      <c r="E1" s="68"/>
      <c r="F1" s="37" t="s">
        <v>1</v>
      </c>
      <c r="G1" s="61" t="s">
        <v>132</v>
      </c>
      <c r="H1" s="172"/>
    </row>
    <row r="2" spans="1:9" ht="15.75" customHeight="1">
      <c r="B2" s="37" t="s">
        <v>84</v>
      </c>
      <c r="C2" s="207" t="s">
        <v>131</v>
      </c>
      <c r="D2" s="207"/>
      <c r="E2" s="80"/>
      <c r="F2" s="37" t="s">
        <v>43</v>
      </c>
      <c r="G2" s="91" t="s">
        <v>137</v>
      </c>
      <c r="H2" s="177"/>
    </row>
    <row r="3" spans="1:9" ht="15.75">
      <c r="B3" s="37" t="s">
        <v>83</v>
      </c>
      <c r="C3" s="119" t="s">
        <v>133</v>
      </c>
      <c r="F3" s="59" t="s">
        <v>130</v>
      </c>
      <c r="G3" s="179">
        <v>20</v>
      </c>
      <c r="H3" s="178" t="s">
        <v>128</v>
      </c>
    </row>
    <row r="4" spans="1:9" ht="15.75">
      <c r="B4" s="37" t="s">
        <v>42</v>
      </c>
      <c r="C4" s="39"/>
      <c r="D4" s="42"/>
      <c r="E4" s="43"/>
      <c r="F4" s="59" t="s">
        <v>129</v>
      </c>
      <c r="G4" s="179">
        <v>19</v>
      </c>
      <c r="H4" s="178" t="s">
        <v>128</v>
      </c>
    </row>
    <row r="5" spans="1:9" ht="11.25" customHeight="1">
      <c r="B5" s="37"/>
      <c r="C5" s="42" t="s">
        <v>35</v>
      </c>
      <c r="D5" s="42"/>
      <c r="E5" s="43"/>
      <c r="F5" s="3"/>
      <c r="G5" s="16"/>
      <c r="H5" s="78"/>
    </row>
    <row r="6" spans="1:9" ht="15.75">
      <c r="A6" s="43"/>
      <c r="B6" s="43"/>
      <c r="C6" s="60"/>
      <c r="D6" s="42"/>
      <c r="E6" s="43"/>
      <c r="F6" s="3"/>
      <c r="G6" s="62" t="s">
        <v>105</v>
      </c>
      <c r="H6" s="214" t="s">
        <v>67</v>
      </c>
    </row>
    <row r="7" spans="1:9" ht="14.25" customHeight="1">
      <c r="D7" s="62" t="s">
        <v>68</v>
      </c>
      <c r="E7" s="81" t="s">
        <v>75</v>
      </c>
      <c r="F7" s="210" t="s">
        <v>81</v>
      </c>
      <c r="G7" s="211"/>
      <c r="H7" s="215"/>
    </row>
    <row r="8" spans="1:9">
      <c r="A8" s="3"/>
      <c r="B8" s="3"/>
      <c r="D8" s="120" t="s">
        <v>48</v>
      </c>
      <c r="E8" s="171">
        <v>0.5</v>
      </c>
      <c r="F8" s="212">
        <v>4</v>
      </c>
      <c r="G8" s="213"/>
      <c r="H8" s="215"/>
    </row>
    <row r="9" spans="1:9" ht="3" customHeight="1">
      <c r="A9" s="3"/>
      <c r="E9" s="154"/>
      <c r="G9" s="155"/>
      <c r="H9" s="156"/>
    </row>
    <row r="10" spans="1:9" ht="48.75" customHeight="1">
      <c r="A10" s="56" t="s">
        <v>120</v>
      </c>
      <c r="B10" s="173" t="s">
        <v>64</v>
      </c>
      <c r="C10" s="127" t="s">
        <v>85</v>
      </c>
      <c r="D10" s="121" t="s">
        <v>127</v>
      </c>
      <c r="E10" s="128" t="s">
        <v>44</v>
      </c>
      <c r="F10" s="208" t="s">
        <v>82</v>
      </c>
      <c r="G10" s="209"/>
      <c r="H10" s="57" t="s">
        <v>66</v>
      </c>
    </row>
    <row r="11" spans="1:9" ht="14.25" customHeight="1">
      <c r="A11" s="166">
        <v>1</v>
      </c>
      <c r="B11" s="10">
        <v>4.6772000000000001E-2</v>
      </c>
      <c r="C11" s="11">
        <v>4.6772000000000001E-2</v>
      </c>
      <c r="D11" s="10">
        <v>3.2885999999999999E-2</v>
      </c>
      <c r="E11" s="79">
        <v>0.32427600000000001</v>
      </c>
      <c r="F11" s="206">
        <v>4.55</v>
      </c>
      <c r="G11" s="206"/>
      <c r="H11" s="40" t="s">
        <v>138</v>
      </c>
      <c r="I11" s="174"/>
    </row>
    <row r="12" spans="1:9" ht="14.25" customHeight="1">
      <c r="A12" s="166">
        <v>2</v>
      </c>
      <c r="B12" s="10">
        <v>4.5323000000000002E-2</v>
      </c>
      <c r="C12" s="11">
        <v>4.5323000000000002E-2</v>
      </c>
      <c r="D12" s="10">
        <v>4.4026000000000003E-2</v>
      </c>
      <c r="E12" s="9">
        <v>0.32809199999999999</v>
      </c>
      <c r="F12" s="206">
        <v>4.5599999999999996</v>
      </c>
      <c r="G12" s="206"/>
      <c r="H12" s="40" t="s">
        <v>138</v>
      </c>
      <c r="I12" s="175"/>
    </row>
    <row r="13" spans="1:9" ht="14.25" customHeight="1">
      <c r="A13" s="166">
        <v>3</v>
      </c>
      <c r="B13" s="10">
        <v>3.5326999999999997E-2</v>
      </c>
      <c r="C13" s="11">
        <v>3.5326999999999997E-2</v>
      </c>
      <c r="D13" s="10">
        <v>3.1359999999999999E-2</v>
      </c>
      <c r="E13" s="9">
        <v>0.320461</v>
      </c>
      <c r="F13" s="206">
        <v>4.49</v>
      </c>
      <c r="G13" s="206"/>
      <c r="H13" s="40" t="s">
        <v>138</v>
      </c>
      <c r="I13" s="176"/>
    </row>
    <row r="14" spans="1:9" ht="14.25" customHeight="1">
      <c r="A14" s="166">
        <v>4</v>
      </c>
      <c r="B14" s="10">
        <v>3.5097999999999997E-2</v>
      </c>
      <c r="C14" s="11">
        <v>3.5097999999999997E-2</v>
      </c>
      <c r="D14" s="10">
        <v>3.0367999999999999E-2</v>
      </c>
      <c r="E14" s="9">
        <v>0.31664700000000001</v>
      </c>
      <c r="F14" s="206">
        <v>4.4800000000000004</v>
      </c>
      <c r="G14" s="206"/>
      <c r="H14" s="40" t="s">
        <v>138</v>
      </c>
    </row>
    <row r="15" spans="1:9" ht="14.25" customHeight="1">
      <c r="A15" s="166">
        <v>5</v>
      </c>
      <c r="B15" s="10">
        <v>3.5708999999999998E-2</v>
      </c>
      <c r="C15" s="11">
        <v>3.5708999999999998E-2</v>
      </c>
      <c r="D15" s="10">
        <v>2.9527999999999999E-2</v>
      </c>
      <c r="E15" s="9">
        <v>0.32427499999999998</v>
      </c>
      <c r="F15" s="206">
        <v>4.51</v>
      </c>
      <c r="G15" s="206"/>
      <c r="H15" s="40" t="s">
        <v>138</v>
      </c>
    </row>
    <row r="16" spans="1:9" ht="14.25" customHeight="1">
      <c r="A16" s="166">
        <v>6</v>
      </c>
      <c r="B16" s="10">
        <v>3.7768999999999997E-2</v>
      </c>
      <c r="C16" s="11">
        <v>3.7768999999999997E-2</v>
      </c>
      <c r="D16" s="10">
        <v>2.9222999999999999E-2</v>
      </c>
      <c r="E16" s="9">
        <v>0.33190599999999998</v>
      </c>
      <c r="F16" s="206">
        <v>4.5199999999999996</v>
      </c>
      <c r="G16" s="206"/>
      <c r="H16" s="40" t="s">
        <v>138</v>
      </c>
    </row>
    <row r="17" spans="1:8" ht="14.25" customHeight="1">
      <c r="A17" s="166">
        <v>7</v>
      </c>
      <c r="B17" s="10">
        <v>3.6242999999999997E-2</v>
      </c>
      <c r="C17" s="11">
        <v>3.6242999999999997E-2</v>
      </c>
      <c r="D17" s="10">
        <v>3.4029999999999998E-2</v>
      </c>
      <c r="E17" s="9">
        <v>0.32809100000000002</v>
      </c>
      <c r="F17" s="206">
        <v>4.54</v>
      </c>
      <c r="G17" s="206"/>
      <c r="H17" s="40" t="s">
        <v>138</v>
      </c>
    </row>
    <row r="18" spans="1:8" ht="14.25" customHeight="1">
      <c r="A18" s="166">
        <v>8</v>
      </c>
      <c r="B18" s="10">
        <v>3.7999999999999999E-2</v>
      </c>
      <c r="C18" s="11">
        <v>3.7999999999999999E-2</v>
      </c>
      <c r="D18" s="10">
        <v>3.4716999999999998E-2</v>
      </c>
      <c r="E18" s="9">
        <v>0.32809100000000002</v>
      </c>
      <c r="F18" s="206">
        <v>4.6100000000000003</v>
      </c>
      <c r="G18" s="206"/>
      <c r="H18" s="40" t="s">
        <v>138</v>
      </c>
    </row>
    <row r="19" spans="1:8" ht="14.25" customHeight="1">
      <c r="A19" s="166">
        <v>9</v>
      </c>
      <c r="B19" s="10">
        <v>4.4102000000000002E-2</v>
      </c>
      <c r="C19" s="11">
        <v>4.4102000000000002E-2</v>
      </c>
      <c r="D19" s="10">
        <v>5.9132999999999998E-2</v>
      </c>
      <c r="E19" s="9">
        <v>0.33190700000000001</v>
      </c>
      <c r="F19" s="206">
        <v>4.59</v>
      </c>
      <c r="G19" s="206"/>
      <c r="H19" s="40" t="s">
        <v>138</v>
      </c>
    </row>
    <row r="20" spans="1:8" ht="14.25" customHeight="1">
      <c r="A20" s="166">
        <v>10</v>
      </c>
      <c r="B20" s="10">
        <v>4.8222000000000001E-2</v>
      </c>
      <c r="C20" s="11">
        <v>4.8222000000000001E-2</v>
      </c>
      <c r="D20" s="10">
        <v>3.8455999999999997E-2</v>
      </c>
      <c r="E20" s="9">
        <v>0.32427600000000001</v>
      </c>
      <c r="F20" s="206">
        <v>4.58</v>
      </c>
      <c r="G20" s="206"/>
      <c r="H20" s="40" t="s">
        <v>138</v>
      </c>
    </row>
    <row r="21" spans="1:8" ht="14.25" customHeight="1">
      <c r="A21" s="166">
        <v>11</v>
      </c>
      <c r="B21" s="10">
        <v>3.7768999999999997E-2</v>
      </c>
      <c r="C21" s="11">
        <v>3.7768999999999997E-2</v>
      </c>
      <c r="D21" s="10">
        <v>3.4258999999999998E-2</v>
      </c>
      <c r="E21" s="9">
        <v>0.31283100000000003</v>
      </c>
      <c r="F21" s="206">
        <v>4.59</v>
      </c>
      <c r="G21" s="206"/>
      <c r="H21" s="40" t="s">
        <v>138</v>
      </c>
    </row>
    <row r="22" spans="1:8" ht="14.25" customHeight="1">
      <c r="A22" s="166">
        <v>12</v>
      </c>
      <c r="B22" s="10">
        <v>4.5628000000000002E-2</v>
      </c>
      <c r="C22" s="11">
        <v>4.5628000000000002E-2</v>
      </c>
      <c r="D22" s="10">
        <v>3.1588999999999999E-2</v>
      </c>
      <c r="E22" s="9">
        <v>0.32427600000000001</v>
      </c>
      <c r="F22" s="206">
        <v>4.59</v>
      </c>
      <c r="G22" s="206"/>
      <c r="H22" s="40" t="s">
        <v>138</v>
      </c>
    </row>
    <row r="23" spans="1:8" ht="14.25" customHeight="1">
      <c r="A23" s="166">
        <v>13</v>
      </c>
      <c r="B23" s="10">
        <v>7.1417999999999995E-2</v>
      </c>
      <c r="C23" s="11">
        <v>7.1417999999999995E-2</v>
      </c>
      <c r="D23" s="10">
        <v>3.1053999999999998E-2</v>
      </c>
      <c r="E23" s="9">
        <v>0.31664700000000001</v>
      </c>
      <c r="F23" s="206">
        <v>4.6100000000000003</v>
      </c>
      <c r="G23" s="206"/>
      <c r="H23" s="40" t="s">
        <v>138</v>
      </c>
    </row>
    <row r="24" spans="1:8" ht="14.25" customHeight="1">
      <c r="A24" s="166">
        <v>14</v>
      </c>
      <c r="B24" s="10">
        <v>3.9829000000000003E-2</v>
      </c>
      <c r="C24" s="11">
        <v>3.9829000000000003E-2</v>
      </c>
      <c r="D24" s="10">
        <v>0.03</v>
      </c>
      <c r="E24" s="9">
        <v>0.32427600000000001</v>
      </c>
      <c r="F24" s="206">
        <v>4.5999999999999996</v>
      </c>
      <c r="G24" s="206"/>
      <c r="H24" s="40" t="s">
        <v>138</v>
      </c>
    </row>
    <row r="25" spans="1:8" ht="14.25" customHeight="1">
      <c r="A25" s="166">
        <v>15</v>
      </c>
      <c r="B25" s="10">
        <v>3.9523999999999997E-2</v>
      </c>
      <c r="C25" s="11">
        <v>3.9523999999999997E-2</v>
      </c>
      <c r="D25" s="10">
        <v>6.9128999999999996E-2</v>
      </c>
      <c r="E25" s="9">
        <v>0.32427600000000001</v>
      </c>
      <c r="F25" s="206">
        <v>4.6100000000000003</v>
      </c>
      <c r="G25" s="206"/>
      <c r="H25" s="40" t="s">
        <v>138</v>
      </c>
    </row>
    <row r="26" spans="1:8" ht="14.25" customHeight="1">
      <c r="A26" s="166">
        <v>16</v>
      </c>
      <c r="B26" s="10">
        <v>3.7158999999999998E-2</v>
      </c>
      <c r="C26" s="11">
        <v>3.7158999999999998E-2</v>
      </c>
      <c r="D26" s="10">
        <v>4.7535000000000001E-2</v>
      </c>
      <c r="E26" s="9">
        <v>0.33572200000000002</v>
      </c>
      <c r="F26" s="206">
        <v>4.53</v>
      </c>
      <c r="G26" s="206"/>
      <c r="H26" s="40" t="s">
        <v>138</v>
      </c>
    </row>
    <row r="27" spans="1:8" ht="14.25" customHeight="1">
      <c r="A27" s="166">
        <v>17</v>
      </c>
      <c r="B27" s="10">
        <v>4.1050000000000003E-2</v>
      </c>
      <c r="C27" s="11">
        <v>4.1050000000000003E-2</v>
      </c>
      <c r="D27" s="10">
        <v>3.6013999999999997E-2</v>
      </c>
      <c r="E27" s="9">
        <v>0.33953699999999998</v>
      </c>
      <c r="F27" s="206">
        <v>4.59</v>
      </c>
      <c r="G27" s="206"/>
      <c r="H27" s="40" t="s">
        <v>138</v>
      </c>
    </row>
    <row r="28" spans="1:8" ht="14.25" customHeight="1">
      <c r="A28" s="166">
        <v>18</v>
      </c>
      <c r="B28" s="10">
        <v>3.5000000000000003E-2</v>
      </c>
      <c r="C28" s="11">
        <v>3.5000000000000003E-2</v>
      </c>
      <c r="D28" s="10">
        <v>3.2503999999999998E-2</v>
      </c>
      <c r="E28" s="9">
        <v>0.339536</v>
      </c>
      <c r="F28" s="206">
        <v>4.59</v>
      </c>
      <c r="G28" s="206"/>
      <c r="H28" s="40" t="s">
        <v>138</v>
      </c>
    </row>
    <row r="29" spans="1:8" ht="14.25" customHeight="1">
      <c r="A29" s="166">
        <v>19</v>
      </c>
      <c r="B29" s="10">
        <v>3.7386999999999997E-2</v>
      </c>
      <c r="C29" s="11">
        <v>3.7386999999999997E-2</v>
      </c>
      <c r="D29" s="10">
        <v>6.4244999999999997E-2</v>
      </c>
      <c r="E29" s="9">
        <v>0.32427600000000001</v>
      </c>
      <c r="F29" s="206">
        <v>4.5999999999999996</v>
      </c>
      <c r="G29" s="206"/>
      <c r="H29" s="40" t="s">
        <v>138</v>
      </c>
    </row>
    <row r="30" spans="1:8" ht="14.25" customHeight="1">
      <c r="A30" s="166">
        <v>20</v>
      </c>
      <c r="B30" s="10">
        <v>4.9977000000000001E-2</v>
      </c>
      <c r="C30" s="11">
        <v>4.9977000000000001E-2</v>
      </c>
      <c r="D30" s="10">
        <v>4.1889000000000003E-2</v>
      </c>
      <c r="E30" s="9">
        <v>0.34335100000000002</v>
      </c>
      <c r="F30" s="206">
        <v>4.58</v>
      </c>
      <c r="G30" s="206"/>
      <c r="H30" s="40" t="s">
        <v>138</v>
      </c>
    </row>
    <row r="31" spans="1:8" ht="14.25" customHeight="1">
      <c r="A31" s="166">
        <v>21</v>
      </c>
      <c r="B31" s="10">
        <v>4.4999999999999998E-2</v>
      </c>
      <c r="C31" s="11">
        <v>4.4999999999999998E-2</v>
      </c>
      <c r="D31" s="10">
        <v>3.3953999999999998E-2</v>
      </c>
      <c r="E31" s="9">
        <v>0.35098200000000002</v>
      </c>
      <c r="F31" s="206">
        <v>4.57</v>
      </c>
      <c r="G31" s="206"/>
      <c r="H31" s="40" t="s">
        <v>138</v>
      </c>
    </row>
    <row r="32" spans="1:8" ht="14.25" customHeight="1">
      <c r="A32" s="166">
        <v>22</v>
      </c>
      <c r="B32" s="10">
        <v>3.4716999999999998E-2</v>
      </c>
      <c r="C32" s="11">
        <v>3.4716999999999998E-2</v>
      </c>
      <c r="D32" s="10">
        <v>3.4000000000000002E-2</v>
      </c>
      <c r="E32" s="9">
        <v>0.35861300000000002</v>
      </c>
      <c r="F32" s="206">
        <v>4.51</v>
      </c>
      <c r="G32" s="206"/>
      <c r="H32" s="40" t="s">
        <v>138</v>
      </c>
    </row>
    <row r="33" spans="1:8" ht="14.25" customHeight="1">
      <c r="A33" s="166">
        <v>23</v>
      </c>
      <c r="B33" s="10">
        <v>3.6089999999999997E-2</v>
      </c>
      <c r="C33" s="11">
        <v>3.6089999999999997E-2</v>
      </c>
      <c r="D33" s="10">
        <v>3.3000000000000002E-2</v>
      </c>
      <c r="E33" s="9">
        <v>0.34716599999999997</v>
      </c>
      <c r="F33" s="206">
        <v>4.4800000000000004</v>
      </c>
      <c r="G33" s="206"/>
      <c r="H33" s="40" t="s">
        <v>138</v>
      </c>
    </row>
    <row r="34" spans="1:8" ht="14.25" customHeight="1">
      <c r="A34" s="166">
        <v>24</v>
      </c>
      <c r="B34" s="10">
        <v>4.2999999999999997E-2</v>
      </c>
      <c r="C34" s="11">
        <v>4.2999999999999997E-2</v>
      </c>
      <c r="D34" s="10">
        <v>4.2999999999999997E-2</v>
      </c>
      <c r="E34" s="9">
        <v>0.34335199999999999</v>
      </c>
      <c r="F34" s="206">
        <v>4.5599999999999996</v>
      </c>
      <c r="G34" s="206"/>
      <c r="H34" s="40" t="s">
        <v>138</v>
      </c>
    </row>
    <row r="35" spans="1:8" ht="14.25" customHeight="1">
      <c r="A35" s="166">
        <v>25</v>
      </c>
      <c r="B35" s="10">
        <v>3.6242999999999997E-2</v>
      </c>
      <c r="C35" s="11">
        <v>3.6242999999999997E-2</v>
      </c>
      <c r="D35" s="10">
        <v>5.2495E-2</v>
      </c>
      <c r="E35" s="9">
        <v>0.38531700000000002</v>
      </c>
      <c r="F35" s="206">
        <v>4.4000000000000004</v>
      </c>
      <c r="G35" s="206"/>
      <c r="H35" s="40" t="s">
        <v>138</v>
      </c>
    </row>
    <row r="36" spans="1:8" ht="14.25" customHeight="1">
      <c r="A36" s="166">
        <v>26</v>
      </c>
      <c r="B36" s="10">
        <v>3.5555999999999997E-2</v>
      </c>
      <c r="C36" s="11">
        <v>3.5555999999999997E-2</v>
      </c>
      <c r="D36" s="10">
        <v>3.4029999999999998E-2</v>
      </c>
      <c r="E36" s="9">
        <v>0.36624200000000001</v>
      </c>
      <c r="F36" s="206">
        <v>4.43</v>
      </c>
      <c r="G36" s="206"/>
      <c r="H36" s="40" t="s">
        <v>138</v>
      </c>
    </row>
    <row r="37" spans="1:8" ht="14.25" customHeight="1">
      <c r="A37" s="166">
        <v>27</v>
      </c>
      <c r="B37" s="10">
        <v>3.3648999999999998E-2</v>
      </c>
      <c r="C37" s="11">
        <v>3.3648999999999998E-2</v>
      </c>
      <c r="D37" s="10">
        <v>3.9065999999999997E-2</v>
      </c>
      <c r="E37" s="9">
        <v>0.37005700000000002</v>
      </c>
      <c r="F37" s="206">
        <v>4.33</v>
      </c>
      <c r="G37" s="206"/>
      <c r="H37" s="40" t="s">
        <v>138</v>
      </c>
    </row>
    <row r="38" spans="1:8" ht="14.25" customHeight="1">
      <c r="A38" s="166">
        <v>28</v>
      </c>
      <c r="B38" s="10">
        <v>4.3263000000000003E-2</v>
      </c>
      <c r="C38" s="11">
        <v>4.3263000000000003E-2</v>
      </c>
      <c r="D38" s="10">
        <v>5.5166E-2</v>
      </c>
      <c r="E38" s="9">
        <v>0.35861100000000001</v>
      </c>
      <c r="F38" s="206">
        <v>4.5199999999999996</v>
      </c>
      <c r="G38" s="206"/>
      <c r="H38" s="40" t="s">
        <v>138</v>
      </c>
    </row>
    <row r="39" spans="1:8" ht="14.25" customHeight="1">
      <c r="A39" s="166">
        <v>29</v>
      </c>
      <c r="B39" s="10">
        <v>3.4106999999999998E-2</v>
      </c>
      <c r="C39" s="11">
        <v>3.4106999999999998E-2</v>
      </c>
      <c r="D39" s="10">
        <v>6.7449999999999996E-2</v>
      </c>
      <c r="E39" s="9">
        <v>0.370056</v>
      </c>
      <c r="F39" s="206">
        <v>4.3</v>
      </c>
      <c r="G39" s="206"/>
      <c r="H39" s="40" t="s">
        <v>138</v>
      </c>
    </row>
    <row r="40" spans="1:8" ht="14.25" customHeight="1">
      <c r="A40" s="166">
        <v>30</v>
      </c>
      <c r="B40" s="10">
        <v>3.7768999999999997E-2</v>
      </c>
      <c r="C40" s="11">
        <v>3.7768999999999997E-2</v>
      </c>
      <c r="D40" s="10">
        <v>4.5999999999999999E-2</v>
      </c>
      <c r="E40" s="9">
        <v>0.35861100000000001</v>
      </c>
      <c r="F40" s="206">
        <v>4.0999999999999996</v>
      </c>
      <c r="G40" s="206"/>
      <c r="H40" s="40" t="s">
        <v>138</v>
      </c>
    </row>
    <row r="41" spans="1:8" ht="14.25" customHeight="1">
      <c r="A41" s="166">
        <v>31</v>
      </c>
      <c r="B41" s="10">
        <v>3.6929999999999998E-2</v>
      </c>
      <c r="C41" s="11">
        <v>3.6929999999999998E-2</v>
      </c>
      <c r="D41" s="10">
        <v>4.8000000000000001E-2</v>
      </c>
      <c r="E41" s="9">
        <v>0.35861100000000001</v>
      </c>
      <c r="F41" s="206">
        <v>4.0999999999999996</v>
      </c>
      <c r="G41" s="206"/>
      <c r="H41" s="40" t="s">
        <v>138</v>
      </c>
    </row>
    <row r="42" spans="1:8" ht="15.75">
      <c r="A42" s="203" t="s">
        <v>29</v>
      </c>
      <c r="B42" s="204"/>
      <c r="C42" s="204"/>
      <c r="D42" s="204"/>
      <c r="E42" s="204"/>
      <c r="F42" s="204"/>
      <c r="G42" s="204"/>
      <c r="H42" s="205"/>
    </row>
    <row r="43" spans="1:8" ht="45" customHeight="1">
      <c r="A43" s="192" t="s">
        <v>47</v>
      </c>
      <c r="B43" s="193"/>
      <c r="C43" s="194" t="s">
        <v>46</v>
      </c>
      <c r="D43" s="194"/>
      <c r="E43" s="192" t="s">
        <v>65</v>
      </c>
      <c r="F43" s="194"/>
      <c r="G43" s="122" t="s">
        <v>115</v>
      </c>
      <c r="H43" s="92" t="s">
        <v>22</v>
      </c>
    </row>
    <row r="44" spans="1:8" ht="15" customHeight="1">
      <c r="A44" s="199" t="str">
        <f>IF(COUNTIF(B11:B41,"")=31,"",IF(_xlfn.PERCENTILE.INC(B11:B41,0.95)&lt;=1,"Yes","No"))</f>
        <v>Yes</v>
      </c>
      <c r="B44" s="200"/>
      <c r="C44" s="198" t="str">
        <f>IF(COUNTIF(B11:B41,"")=31,"",IF(MAX(B11:B41)&lt;=5,"Yes","No"))</f>
        <v>Yes</v>
      </c>
      <c r="D44" s="198"/>
      <c r="E44" s="197" t="str">
        <f>IF(MAX(D11:D41)=0,"",IF(MAX(D11:D41)&gt;0.15,"No","Yes"))</f>
        <v>Yes</v>
      </c>
      <c r="F44" s="198"/>
      <c r="G44" s="165" t="str">
        <f>IF(COUNTBLANK(E46:H46)=4,"",IF(OR(E46="No",G46="No"),"No","Yes"))</f>
        <v>Yes</v>
      </c>
      <c r="H44" s="93" t="str">
        <f>IF(COUNTIF(H11:H41,"")=31,"",(IF(COUNTIF(H11:H41,"N")&gt;=1,"No","Yes")))</f>
        <v>Yes</v>
      </c>
    </row>
    <row r="45" spans="1:8" ht="15" customHeight="1">
      <c r="A45" s="192" t="s">
        <v>50</v>
      </c>
      <c r="B45" s="193"/>
      <c r="C45" s="201" t="s">
        <v>49</v>
      </c>
      <c r="D45" s="202"/>
      <c r="E45" s="186" t="s">
        <v>125</v>
      </c>
      <c r="F45" s="187"/>
      <c r="G45" s="186" t="s">
        <v>28</v>
      </c>
      <c r="H45" s="187"/>
    </row>
    <row r="46" spans="1:8" ht="15" customHeight="1" thickBot="1">
      <c r="A46" s="195" t="str">
        <f>IF(COUNTBLANK('pg 2'!H8:H38)=31,"",IF(COUNTIF('pg 2'!H8:H38,"NO")&gt;0,"No","Yes"))</f>
        <v>Yes</v>
      </c>
      <c r="B46" s="196"/>
      <c r="C46" s="190" t="str">
        <f>IF((COUNTBLANK('pg 2'!B8:B38))=31,"",IF(IF(MIN('pg 2'!B8:B38)=0,"",MIN('pg 2'!B8:B38))&lt;0.2,"No","Yes"))</f>
        <v>Yes</v>
      </c>
      <c r="D46" s="191"/>
      <c r="E46" s="188" t="str">
        <f>IF((COUNTBLANK(E11:E41))=31,"",IF((MAX(E11:E41)&lt;=E8),"Yes","No"))</f>
        <v>Yes</v>
      </c>
      <c r="F46" s="189"/>
      <c r="G46" s="188" t="str">
        <f>IF((COUNTBLANK(F11:G41))=62,"",IF((MIN(F11:G41)&lt;F8),"No","Yes"))</f>
        <v>Yes</v>
      </c>
      <c r="H46" s="189"/>
    </row>
    <row r="47" spans="1:8" ht="15">
      <c r="A47" s="84" t="s">
        <v>2</v>
      </c>
      <c r="B47" s="85"/>
      <c r="C47" s="181" t="s">
        <v>136</v>
      </c>
      <c r="D47" s="181"/>
      <c r="E47" s="138"/>
      <c r="F47" s="157" t="s">
        <v>4</v>
      </c>
      <c r="G47" s="180">
        <v>45691</v>
      </c>
      <c r="H47" s="86"/>
    </row>
    <row r="48" spans="1:8" ht="15">
      <c r="A48" s="87" t="s">
        <v>3</v>
      </c>
      <c r="B48" s="75"/>
      <c r="C48" s="182"/>
      <c r="D48" s="182"/>
      <c r="E48" s="76"/>
      <c r="F48" s="76" t="s">
        <v>33</v>
      </c>
      <c r="G48" s="112" t="s">
        <v>134</v>
      </c>
      <c r="H48" s="89"/>
    </row>
    <row r="49" spans="1:8" ht="15.75" thickBot="1">
      <c r="A49" s="184" t="s">
        <v>102</v>
      </c>
      <c r="B49" s="185"/>
      <c r="C49" s="183"/>
      <c r="D49" s="183"/>
      <c r="E49" s="136"/>
      <c r="F49" s="76" t="s">
        <v>21</v>
      </c>
      <c r="G49" s="137" t="s">
        <v>135</v>
      </c>
      <c r="H49" s="88"/>
    </row>
    <row r="50" spans="1:8" ht="12" customHeight="1" thickBot="1">
      <c r="A50" s="169"/>
      <c r="B50" s="77"/>
      <c r="C50" s="77"/>
      <c r="D50" s="77"/>
      <c r="E50" s="77"/>
      <c r="F50" s="77"/>
      <c r="G50" s="77"/>
      <c r="H50" s="139" t="s">
        <v>55</v>
      </c>
    </row>
  </sheetData>
  <mergeCells count="55">
    <mergeCell ref="F24:G24"/>
    <mergeCell ref="F25:G25"/>
    <mergeCell ref="H6:H8"/>
    <mergeCell ref="F36:G36"/>
    <mergeCell ref="F26:G26"/>
    <mergeCell ref="F27:G27"/>
    <mergeCell ref="F28:G28"/>
    <mergeCell ref="F29:G29"/>
    <mergeCell ref="F41:G41"/>
    <mergeCell ref="F30:G30"/>
    <mergeCell ref="F31:G31"/>
    <mergeCell ref="F32:G32"/>
    <mergeCell ref="F33:G33"/>
    <mergeCell ref="F34:G34"/>
    <mergeCell ref="C2:D2"/>
    <mergeCell ref="F10:G10"/>
    <mergeCell ref="F13:G13"/>
    <mergeCell ref="F11:G11"/>
    <mergeCell ref="F12:G12"/>
    <mergeCell ref="F7:G7"/>
    <mergeCell ref="F8:G8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C47:D47"/>
    <mergeCell ref="C48:D48"/>
    <mergeCell ref="C49:D49"/>
    <mergeCell ref="A49:B49"/>
    <mergeCell ref="G45:H45"/>
    <mergeCell ref="E46:F46"/>
    <mergeCell ref="G46:H46"/>
    <mergeCell ref="C46:D46"/>
  </mergeCells>
  <conditionalFormatting sqref="A44 C44 E44 G44 A46:C46 E46 G46">
    <cfRule type="cellIs" dxfId="34" priority="24" operator="equal">
      <formula>"Yes"</formula>
    </cfRule>
    <cfRule type="cellIs" dxfId="33" priority="27" operator="equal">
      <formula>"No"</formula>
    </cfRule>
  </conditionalFormatting>
  <conditionalFormatting sqref="B11:B41 D11:D41">
    <cfRule type="cellIs" dxfId="32" priority="12" operator="between">
      <formula>0.0001</formula>
      <formula>0.15</formula>
    </cfRule>
    <cfRule type="cellIs" dxfId="31" priority="16" operator="between">
      <formula>0.151</formula>
      <formula>1.49</formula>
    </cfRule>
    <cfRule type="cellIs" dxfId="30" priority="19" operator="between">
      <formula>1.5</formula>
      <formula>5.49</formula>
    </cfRule>
    <cfRule type="cellIs" dxfId="29" priority="20" operator="greaterThan">
      <formula>5.49</formula>
    </cfRule>
  </conditionalFormatting>
  <conditionalFormatting sqref="C11:C41">
    <cfRule type="cellIs" dxfId="28" priority="2" operator="greaterThan">
      <formula>0.15</formula>
    </cfRule>
    <cfRule type="cellIs" dxfId="27" priority="3" operator="between">
      <formula>0.051</formula>
      <formula>0.15</formula>
    </cfRule>
    <cfRule type="cellIs" dxfId="26" priority="4" operator="between">
      <formula>0.0001</formula>
      <formula>0.05</formula>
    </cfRule>
  </conditionalFormatting>
  <conditionalFormatting sqref="E11:E41">
    <cfRule type="cellIs" dxfId="25" priority="76" operator="greaterThan">
      <formula>$E$8</formula>
    </cfRule>
    <cfRule type="cellIs" dxfId="24" priority="77" operator="between">
      <formula>0.0001</formula>
      <formula>"$I$5"</formula>
    </cfRule>
  </conditionalFormatting>
  <conditionalFormatting sqref="F11:F41">
    <cfRule type="cellIs" dxfId="23" priority="78" operator="greaterThanOrEqual">
      <formula>$F$8</formula>
    </cfRule>
    <cfRule type="cellIs" dxfId="22" priority="79" operator="between">
      <formula>$F$8-0.001</formula>
      <formula>0.001</formula>
    </cfRule>
  </conditionalFormatting>
  <conditionalFormatting sqref="F11:G41">
    <cfRule type="containsBlanks" dxfId="21" priority="75" stopIfTrue="1">
      <formula>LEN(TRIM(F11))=0</formula>
    </cfRule>
  </conditionalFormatting>
  <conditionalFormatting sqref="G3">
    <cfRule type="cellIs" dxfId="20" priority="1" operator="lessThan">
      <formula>$G$4</formula>
    </cfRule>
  </conditionalFormatting>
  <conditionalFormatting sqref="H11:H41">
    <cfRule type="cellIs" dxfId="19" priority="6" stopIfTrue="1" operator="equal">
      <formula>"Y"</formula>
    </cfRule>
    <cfRule type="cellIs" dxfId="18" priority="7" stopIfTrue="1" operator="equal">
      <formula>"OFF"</formula>
    </cfRule>
    <cfRule type="cellIs" dxfId="17" priority="8" stopIfTrue="1" operator="equal">
      <formula>"N"</formula>
    </cfRule>
    <cfRule type="cellIs" dxfId="16" priority="17" operator="notEqual">
      <formula>"Y"</formula>
    </cfRule>
  </conditionalFormatting>
  <conditionalFormatting sqref="H44">
    <cfRule type="containsText" dxfId="15" priority="22" operator="containsText" text="Y">
      <formula>NOT(ISERROR(SEARCH("Y",H44)))</formula>
    </cfRule>
    <cfRule type="containsText" dxfId="14" priority="25" operator="containsText" text="N">
      <formula>NOT(ISERROR(SEARCH("N",H44)))</formula>
    </cfRule>
  </conditionalFormatting>
  <pageMargins left="0.7" right="0.7" top="0.75" bottom="0.75" header="0.3" footer="0.3"/>
  <pageSetup scale="87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sheetPr>
    <pageSetUpPr fitToPage="1"/>
  </sheetPr>
  <dimension ref="A1:K47"/>
  <sheetViews>
    <sheetView showGridLines="0" tabSelected="1" view="pageLayout" topLeftCell="A13" zoomScaleNormal="100" workbookViewId="0">
      <selection activeCell="C8" sqref="C8:C38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5" t="s">
        <v>103</v>
      </c>
      <c r="B1" s="66"/>
      <c r="C1" s="66"/>
      <c r="D1" s="66"/>
      <c r="E1" s="66"/>
      <c r="F1" s="66"/>
      <c r="G1" s="66"/>
      <c r="H1" s="69"/>
      <c r="I1" s="63"/>
      <c r="J1" s="64"/>
      <c r="K1" s="114"/>
    </row>
    <row r="2" spans="1:11" ht="17.25">
      <c r="A2" s="65"/>
      <c r="B2" s="66"/>
      <c r="C2" s="66"/>
      <c r="D2" s="66"/>
      <c r="E2" s="66"/>
      <c r="F2" s="66"/>
      <c r="G2" s="66"/>
      <c r="H2" s="69"/>
      <c r="I2" s="63"/>
      <c r="J2" s="64"/>
      <c r="K2" s="114"/>
    </row>
    <row r="3" spans="1:11" ht="15.75">
      <c r="B3" s="37" t="s">
        <v>5</v>
      </c>
      <c r="C3" s="216" t="str">
        <f>IF('pg 1'!C2="","",'pg 1'!C2)</f>
        <v>City of Warrenton</v>
      </c>
      <c r="D3" s="216"/>
      <c r="E3" s="216"/>
      <c r="F3" s="216"/>
      <c r="G3" s="216"/>
      <c r="H3" s="38"/>
      <c r="J3" s="23"/>
    </row>
    <row r="4" spans="1:11" ht="24.75" customHeight="1">
      <c r="B4" s="37" t="s">
        <v>36</v>
      </c>
      <c r="C4" s="217" t="str">
        <f>IF('pg 1'!C3="","",'pg 1'!C3)</f>
        <v>00932</v>
      </c>
      <c r="D4" s="217"/>
      <c r="E4" s="38"/>
      <c r="F4" s="38"/>
      <c r="G4" s="38"/>
      <c r="H4" s="8"/>
      <c r="I4" s="170">
        <v>0.5</v>
      </c>
      <c r="J4" s="222" t="s">
        <v>101</v>
      </c>
      <c r="K4" s="223"/>
    </row>
    <row r="5" spans="1:11" ht="25.5" customHeight="1">
      <c r="B5" s="37" t="s">
        <v>34</v>
      </c>
      <c r="C5" s="217" t="str">
        <f>IF('pg 1'!C4="","",'pg 1'!C4)</f>
        <v/>
      </c>
      <c r="D5" s="217"/>
      <c r="E5" s="38"/>
      <c r="F5" s="38"/>
      <c r="G5" s="38"/>
      <c r="H5" s="8"/>
      <c r="I5" s="14"/>
      <c r="J5" s="224" t="s">
        <v>45</v>
      </c>
      <c r="K5" s="224"/>
    </row>
    <row r="6" spans="1:11" ht="7.5" customHeight="1">
      <c r="A6" s="2"/>
      <c r="I6" s="58"/>
    </row>
    <row r="7" spans="1:11" ht="65.25">
      <c r="A7" s="34" t="s">
        <v>120</v>
      </c>
      <c r="B7" s="35" t="s">
        <v>86</v>
      </c>
      <c r="C7" s="57" t="s">
        <v>24</v>
      </c>
      <c r="D7" s="57" t="s">
        <v>31</v>
      </c>
      <c r="E7" s="57" t="s">
        <v>25</v>
      </c>
      <c r="F7" s="57" t="s">
        <v>0</v>
      </c>
      <c r="G7" s="57" t="s">
        <v>26</v>
      </c>
      <c r="H7" s="57" t="s">
        <v>114</v>
      </c>
      <c r="I7" s="57" t="s">
        <v>27</v>
      </c>
      <c r="J7" s="218" t="s">
        <v>32</v>
      </c>
      <c r="K7" s="219"/>
    </row>
    <row r="8" spans="1:11" ht="15">
      <c r="A8" s="166">
        <v>1</v>
      </c>
      <c r="B8" s="10">
        <v>1.1475660000000001</v>
      </c>
      <c r="C8" s="11">
        <v>309.03754416001647</v>
      </c>
      <c r="D8" s="1">
        <f>IF(B8="","",B8*C8)</f>
        <v>354.64097840153346</v>
      </c>
      <c r="E8" s="12">
        <v>7.538532</v>
      </c>
      <c r="F8" s="9">
        <v>7.2296659999999999</v>
      </c>
      <c r="G8" s="1">
        <f>IF(B8="","",IF(E8&lt;12.5,(0.353*$I$4)*(12.006+EXP(2.46-0.073*E8+0.125*B8+0.389*F8)),(0.361*$I$4)*(-2.261+EXP(2.69-0.065*E8+0.111*B8+0.361*F8))))</f>
        <v>25.016807464323506</v>
      </c>
      <c r="H8" s="13" t="str">
        <f t="shared" ref="H8" si="0">IF(D8="","",IF(D8&gt;=G8,"YES","NO"))</f>
        <v>YES</v>
      </c>
      <c r="I8" s="74">
        <v>854.26513699999998</v>
      </c>
      <c r="J8" s="220"/>
      <c r="K8" s="221"/>
    </row>
    <row r="9" spans="1:11" ht="15">
      <c r="A9" s="166">
        <v>2</v>
      </c>
      <c r="B9" s="10">
        <v>1.154814</v>
      </c>
      <c r="C9" s="11">
        <v>310.70264258670346</v>
      </c>
      <c r="D9" s="1">
        <f t="shared" ref="D9:D38" si="1">IF(B9="","",B9*C9)</f>
        <v>358.80376149612135</v>
      </c>
      <c r="E9" s="12">
        <v>7.5728679999999997</v>
      </c>
      <c r="F9" s="9">
        <v>7.2285979999999999</v>
      </c>
      <c r="G9" s="1">
        <f t="shared" ref="G9:G38" si="2">IF(B9="","",IF(E9&lt;12.5,(0.353*$I$4)*(12.006+EXP(2.46-0.073*E9+0.125*B9+0.389*F9)),(0.361*$I$4)*(-2.261+EXP(2.69-0.065*E9+0.111*B9+0.361*F9))))</f>
        <v>24.970692560354678</v>
      </c>
      <c r="H9" s="13" t="str">
        <f t="shared" ref="H9:H38" si="3">IF(D9="","",IF(D9&gt;=G9,"YES","NO"))</f>
        <v>YES</v>
      </c>
      <c r="I9" s="74">
        <v>849.68701199999998</v>
      </c>
      <c r="J9" s="220"/>
      <c r="K9" s="221"/>
    </row>
    <row r="10" spans="1:11" ht="15">
      <c r="A10" s="166">
        <v>3</v>
      </c>
      <c r="B10" s="10">
        <v>1.1685490000000001</v>
      </c>
      <c r="C10" s="11">
        <v>299.41023057402663</v>
      </c>
      <c r="D10" s="1">
        <f t="shared" si="1"/>
        <v>349.87552552704824</v>
      </c>
      <c r="E10" s="12">
        <v>7.8094010000000003</v>
      </c>
      <c r="F10" s="9">
        <v>7.249962</v>
      </c>
      <c r="G10" s="1">
        <f t="shared" si="2"/>
        <v>24.80585695448174</v>
      </c>
      <c r="H10" s="13" t="str">
        <f t="shared" si="3"/>
        <v>YES</v>
      </c>
      <c r="I10" s="74">
        <v>881.73339799999997</v>
      </c>
      <c r="J10" s="220"/>
      <c r="K10" s="221"/>
    </row>
    <row r="11" spans="1:11" ht="15">
      <c r="A11" s="166">
        <v>4</v>
      </c>
      <c r="B11" s="10">
        <v>1.1685490000000001</v>
      </c>
      <c r="C11" s="11">
        <v>299.72143923496759</v>
      </c>
      <c r="D11" s="1">
        <f t="shared" si="1"/>
        <v>350.23918809658215</v>
      </c>
      <c r="E11" s="12">
        <v>7.9200359999999996</v>
      </c>
      <c r="F11" s="9">
        <v>7.0993430000000002</v>
      </c>
      <c r="G11" s="1">
        <f t="shared" si="2"/>
        <v>23.342706781214403</v>
      </c>
      <c r="H11" s="13" t="str">
        <f t="shared" si="3"/>
        <v>YES</v>
      </c>
      <c r="I11" s="74">
        <v>880.81787099999997</v>
      </c>
      <c r="J11" s="220"/>
      <c r="K11" s="221"/>
    </row>
    <row r="12" spans="1:11" ht="15">
      <c r="A12" s="166">
        <v>5</v>
      </c>
      <c r="B12" s="10">
        <v>1.168167</v>
      </c>
      <c r="C12" s="11">
        <v>307.71831311758058</v>
      </c>
      <c r="D12" s="1">
        <f t="shared" si="1"/>
        <v>359.46637867962471</v>
      </c>
      <c r="E12" s="12">
        <v>8.1260490000000001</v>
      </c>
      <c r="F12" s="9">
        <v>7.1228449999999999</v>
      </c>
      <c r="G12" s="1">
        <f t="shared" si="2"/>
        <v>23.216918722640788</v>
      </c>
      <c r="H12" s="13" t="str">
        <f t="shared" si="3"/>
        <v>YES</v>
      </c>
      <c r="I12" s="74">
        <v>857.92749000000003</v>
      </c>
      <c r="J12" s="220"/>
      <c r="K12" s="221"/>
    </row>
    <row r="13" spans="1:11" ht="15">
      <c r="A13" s="166">
        <v>6</v>
      </c>
      <c r="B13" s="10">
        <v>1.1750339999999999</v>
      </c>
      <c r="C13" s="11">
        <v>308.70669919637004</v>
      </c>
      <c r="D13" s="1">
        <f t="shared" si="1"/>
        <v>362.74086758350745</v>
      </c>
      <c r="E13" s="12">
        <v>8.1069739999999992</v>
      </c>
      <c r="F13" s="9">
        <v>7.2189839999999998</v>
      </c>
      <c r="G13" s="1">
        <f t="shared" si="2"/>
        <v>24.070230763322435</v>
      </c>
      <c r="H13" s="13" t="str">
        <f t="shared" si="3"/>
        <v>YES</v>
      </c>
      <c r="I13" s="74">
        <v>855.18066399999998</v>
      </c>
      <c r="J13" s="220"/>
      <c r="K13" s="221"/>
    </row>
    <row r="14" spans="1:11" ht="15">
      <c r="A14" s="166">
        <v>7</v>
      </c>
      <c r="B14" s="10">
        <v>1.154433</v>
      </c>
      <c r="C14" s="11">
        <v>159.31319038133793</v>
      </c>
      <c r="D14" s="1">
        <f t="shared" si="1"/>
        <v>183.91640431149909</v>
      </c>
      <c r="E14" s="12">
        <v>8.6830459999999992</v>
      </c>
      <c r="F14" s="9">
        <v>6.9273610000000003</v>
      </c>
      <c r="G14" s="1">
        <f t="shared" si="2"/>
        <v>20.860755357499869</v>
      </c>
      <c r="H14" s="13" t="str">
        <f t="shared" si="3"/>
        <v>YES</v>
      </c>
      <c r="I14" s="74">
        <v>1606.8977050000001</v>
      </c>
      <c r="J14" s="220"/>
      <c r="K14" s="221"/>
    </row>
    <row r="15" spans="1:11" ht="15">
      <c r="A15" s="166">
        <v>8</v>
      </c>
      <c r="B15" s="10">
        <v>1.1132299999999999</v>
      </c>
      <c r="C15" s="11">
        <v>220.21448787488669</v>
      </c>
      <c r="D15" s="1">
        <f t="shared" si="1"/>
        <v>245.14937433696008</v>
      </c>
      <c r="E15" s="12">
        <v>7.8322909999999997</v>
      </c>
      <c r="F15" s="9">
        <v>7.4603999999999999</v>
      </c>
      <c r="G15" s="1">
        <f t="shared" si="2"/>
        <v>26.530641307148699</v>
      </c>
      <c r="H15" s="13" t="str">
        <f t="shared" si="3"/>
        <v>YES</v>
      </c>
      <c r="I15" s="74">
        <v>1235.1594239999999</v>
      </c>
      <c r="J15" s="220"/>
      <c r="K15" s="221"/>
    </row>
    <row r="16" spans="1:11" ht="15">
      <c r="A16" s="166">
        <v>9</v>
      </c>
      <c r="B16" s="10">
        <v>1.168167</v>
      </c>
      <c r="C16" s="11">
        <v>209.58037476795849</v>
      </c>
      <c r="D16" s="1">
        <f t="shared" si="1"/>
        <v>244.82487765156176</v>
      </c>
      <c r="E16" s="12">
        <v>7.7407300000000001</v>
      </c>
      <c r="F16" s="9">
        <v>7.5682900000000002</v>
      </c>
      <c r="G16" s="1">
        <f t="shared" si="2"/>
        <v>27.92430984621868</v>
      </c>
      <c r="H16" s="13" t="str">
        <f t="shared" si="3"/>
        <v>YES</v>
      </c>
      <c r="I16" s="74">
        <v>1106.9738769999999</v>
      </c>
      <c r="J16" s="220"/>
      <c r="K16" s="221"/>
    </row>
    <row r="17" spans="1:11" ht="15">
      <c r="A17" s="166">
        <v>10</v>
      </c>
      <c r="B17" s="10">
        <v>1.1406989999999999</v>
      </c>
      <c r="C17" s="11">
        <v>257.43931983361523</v>
      </c>
      <c r="D17" s="1">
        <f t="shared" si="1"/>
        <v>293.66077469488505</v>
      </c>
      <c r="E17" s="12">
        <v>7.8208450000000003</v>
      </c>
      <c r="F17" s="9">
        <v>7.4080570000000003</v>
      </c>
      <c r="G17" s="1">
        <f t="shared" si="2"/>
        <v>26.140948096901692</v>
      </c>
      <c r="H17" s="13" t="str">
        <f t="shared" si="3"/>
        <v>YES</v>
      </c>
      <c r="I17" s="74">
        <v>1025.484375</v>
      </c>
      <c r="J17" s="220"/>
      <c r="K17" s="221"/>
    </row>
    <row r="18" spans="1:11" ht="15">
      <c r="A18" s="166">
        <v>11</v>
      </c>
      <c r="B18" s="10">
        <v>1.1132299999999999</v>
      </c>
      <c r="C18" s="11">
        <v>272.52553823140875</v>
      </c>
      <c r="D18" s="1">
        <f t="shared" si="1"/>
        <v>303.38360492535116</v>
      </c>
      <c r="E18" s="12">
        <v>7.8322909999999997</v>
      </c>
      <c r="F18" s="9">
        <v>7.393103</v>
      </c>
      <c r="G18" s="1">
        <f t="shared" si="2"/>
        <v>25.899874195430026</v>
      </c>
      <c r="H18" s="13" t="str">
        <f t="shared" si="3"/>
        <v>YES</v>
      </c>
      <c r="I18" s="74">
        <v>968.71655299999998</v>
      </c>
      <c r="J18" s="220"/>
      <c r="K18" s="221"/>
    </row>
    <row r="19" spans="1:11" ht="15">
      <c r="A19" s="166">
        <v>12</v>
      </c>
      <c r="B19" s="10">
        <v>1.0857619999999999</v>
      </c>
      <c r="C19" s="11">
        <v>264.28234842548147</v>
      </c>
      <c r="D19" s="1">
        <f t="shared" si="1"/>
        <v>286.94773119114757</v>
      </c>
      <c r="E19" s="12">
        <v>7.7674349999999999</v>
      </c>
      <c r="F19" s="9">
        <v>7.3023040000000004</v>
      </c>
      <c r="G19" s="1">
        <f t="shared" si="2"/>
        <v>25.104461680799847</v>
      </c>
      <c r="H19" s="13" t="str">
        <f t="shared" si="3"/>
        <v>YES</v>
      </c>
      <c r="I19" s="74">
        <v>998.93164100000001</v>
      </c>
      <c r="J19" s="220"/>
      <c r="K19" s="221"/>
    </row>
    <row r="20" spans="1:11" ht="15">
      <c r="A20" s="166">
        <v>13</v>
      </c>
      <c r="B20" s="10">
        <v>1.0788949999999999</v>
      </c>
      <c r="C20" s="11">
        <v>287.18324604445706</v>
      </c>
      <c r="D20" s="1">
        <f t="shared" si="1"/>
        <v>309.84056824113446</v>
      </c>
      <c r="E20" s="12">
        <v>7.3630389999999997</v>
      </c>
      <c r="F20" s="9">
        <v>7.4198069999999996</v>
      </c>
      <c r="G20" s="1">
        <f t="shared" si="2"/>
        <v>26.879086250247529</v>
      </c>
      <c r="H20" s="13" t="str">
        <f t="shared" si="3"/>
        <v>YES</v>
      </c>
      <c r="I20" s="74">
        <v>919.27368200000001</v>
      </c>
      <c r="J20" s="220"/>
      <c r="K20" s="221"/>
    </row>
    <row r="21" spans="1:11" ht="15">
      <c r="A21" s="166">
        <v>14</v>
      </c>
      <c r="B21" s="10">
        <v>1.0788949999999999</v>
      </c>
      <c r="C21" s="11">
        <v>217.60905424587685</v>
      </c>
      <c r="D21" s="1">
        <f t="shared" si="1"/>
        <v>234.77732058060528</v>
      </c>
      <c r="E21" s="12">
        <v>6.943384</v>
      </c>
      <c r="F21" s="9">
        <v>7.4977869999999998</v>
      </c>
      <c r="G21" s="1">
        <f t="shared" si="2"/>
        <v>28.435650173671039</v>
      </c>
      <c r="H21" s="13" t="str">
        <f t="shared" si="3"/>
        <v>YES</v>
      </c>
      <c r="I21" s="74">
        <v>1213.184814</v>
      </c>
      <c r="J21" s="220"/>
      <c r="K21" s="221"/>
    </row>
    <row r="22" spans="1:11" ht="15">
      <c r="A22" s="166">
        <v>15</v>
      </c>
      <c r="B22" s="10">
        <v>1.065161</v>
      </c>
      <c r="C22" s="11">
        <v>232.71349937046017</v>
      </c>
      <c r="D22" s="1">
        <f t="shared" si="1"/>
        <v>247.87734370293873</v>
      </c>
      <c r="E22" s="12">
        <v>6.7717080000000003</v>
      </c>
      <c r="F22" s="9">
        <v>7.4967189999999997</v>
      </c>
      <c r="G22" s="1">
        <f t="shared" si="2"/>
        <v>28.710774752136967</v>
      </c>
      <c r="H22" s="13" t="str">
        <f t="shared" si="3"/>
        <v>YES</v>
      </c>
      <c r="I22" s="74">
        <v>1134.442139</v>
      </c>
      <c r="J22" s="220"/>
      <c r="K22" s="221"/>
    </row>
    <row r="23" spans="1:11" ht="15">
      <c r="A23" s="166">
        <v>16</v>
      </c>
      <c r="B23" s="10">
        <v>1.0582940000000001</v>
      </c>
      <c r="C23" s="11">
        <v>259.52478165570631</v>
      </c>
      <c r="D23" s="1">
        <f t="shared" si="1"/>
        <v>274.65351927754409</v>
      </c>
      <c r="E23" s="12">
        <v>6.7335570000000002</v>
      </c>
      <c r="F23" s="9">
        <v>7.5138100000000003</v>
      </c>
      <c r="G23" s="1">
        <f t="shared" si="2"/>
        <v>28.939780428483274</v>
      </c>
      <c r="H23" s="13" t="str">
        <f t="shared" si="3"/>
        <v>YES</v>
      </c>
      <c r="I23" s="74">
        <v>1017.2438959999999</v>
      </c>
      <c r="J23" s="220"/>
      <c r="K23" s="221"/>
    </row>
    <row r="24" spans="1:11" ht="15">
      <c r="A24" s="166">
        <v>17</v>
      </c>
      <c r="B24" s="10">
        <v>1.0170920000000001</v>
      </c>
      <c r="C24" s="11">
        <v>227.97927461139898</v>
      </c>
      <c r="D24" s="1">
        <f t="shared" si="1"/>
        <v>231.87589637305703</v>
      </c>
      <c r="E24" s="12">
        <v>9.2133369999999992</v>
      </c>
      <c r="F24" s="9">
        <v>7.1548910000000001</v>
      </c>
      <c r="G24" s="1">
        <f t="shared" si="2"/>
        <v>21.482389468622941</v>
      </c>
      <c r="H24" s="13" t="str">
        <f t="shared" si="3"/>
        <v>YES</v>
      </c>
      <c r="I24" s="74">
        <v>1158</v>
      </c>
      <c r="J24" s="220"/>
      <c r="K24" s="221"/>
    </row>
    <row r="25" spans="1:11" ht="15">
      <c r="A25" s="166">
        <v>18</v>
      </c>
      <c r="B25" s="10">
        <v>1.0582940000000001</v>
      </c>
      <c r="C25" s="11">
        <v>267.98029556650249</v>
      </c>
      <c r="D25" s="1">
        <f t="shared" si="1"/>
        <v>283.60193891625619</v>
      </c>
      <c r="E25" s="12">
        <v>6.0888140000000002</v>
      </c>
      <c r="F25" s="9">
        <v>7.6227679999999998</v>
      </c>
      <c r="G25" s="1">
        <f t="shared" si="2"/>
        <v>31.449492923016216</v>
      </c>
      <c r="H25" s="13" t="str">
        <f t="shared" si="3"/>
        <v>YES</v>
      </c>
      <c r="I25" s="74">
        <v>1015</v>
      </c>
      <c r="J25" s="220"/>
      <c r="K25" s="221"/>
    </row>
    <row r="26" spans="1:11" ht="15">
      <c r="A26" s="166">
        <v>19</v>
      </c>
      <c r="B26" s="10">
        <v>1.1132299999999999</v>
      </c>
      <c r="C26" s="11">
        <v>279.39149738333191</v>
      </c>
      <c r="D26" s="1">
        <f t="shared" si="1"/>
        <v>311.02699663204658</v>
      </c>
      <c r="E26" s="12">
        <v>5.6538979999999999</v>
      </c>
      <c r="F26" s="9">
        <v>7.6377230000000003</v>
      </c>
      <c r="G26" s="1">
        <f t="shared" si="2"/>
        <v>32.782130272429193</v>
      </c>
      <c r="H26" s="13" t="str">
        <f t="shared" si="3"/>
        <v>YES</v>
      </c>
      <c r="I26" s="74">
        <v>944.91064500000005</v>
      </c>
      <c r="J26" s="220"/>
      <c r="K26" s="221"/>
    </row>
    <row r="27" spans="1:11" ht="15">
      <c r="A27" s="166">
        <v>20</v>
      </c>
      <c r="B27" s="10">
        <v>1.1613</v>
      </c>
      <c r="C27" s="11">
        <v>268.71577810413532</v>
      </c>
      <c r="D27" s="1">
        <f t="shared" si="1"/>
        <v>312.05963311233234</v>
      </c>
      <c r="E27" s="12">
        <v>5.1388680000000004</v>
      </c>
      <c r="F27" s="9">
        <v>7.6847250000000003</v>
      </c>
      <c r="G27" s="1">
        <f t="shared" si="2"/>
        <v>34.739814527039478</v>
      </c>
      <c r="H27" s="13" t="str">
        <f t="shared" si="3"/>
        <v>YES</v>
      </c>
      <c r="I27" s="74">
        <v>982.45068400000002</v>
      </c>
      <c r="J27" s="220"/>
      <c r="K27" s="221"/>
    </row>
    <row r="28" spans="1:11" ht="15">
      <c r="A28" s="166">
        <v>21</v>
      </c>
      <c r="B28" s="10">
        <v>1.1956359999999999</v>
      </c>
      <c r="C28" s="11">
        <v>292.42600691578645</v>
      </c>
      <c r="D28" s="1">
        <f t="shared" si="1"/>
        <v>349.63506120476325</v>
      </c>
      <c r="E28" s="12">
        <v>5.0015260000000001</v>
      </c>
      <c r="F28" s="9">
        <v>7.6879289999999996</v>
      </c>
      <c r="G28" s="1">
        <f t="shared" si="2"/>
        <v>35.251506207330095</v>
      </c>
      <c r="H28" s="13" t="str">
        <f t="shared" si="3"/>
        <v>YES</v>
      </c>
      <c r="I28" s="74">
        <v>902.79247999999995</v>
      </c>
      <c r="J28" s="220"/>
      <c r="K28" s="221"/>
    </row>
    <row r="29" spans="1:11" ht="15">
      <c r="A29" s="166">
        <v>22</v>
      </c>
      <c r="B29" s="10">
        <v>1.2093700000000001</v>
      </c>
      <c r="C29" s="11">
        <v>293.61712178508731</v>
      </c>
      <c r="D29" s="1">
        <f t="shared" si="1"/>
        <v>355.09173857323105</v>
      </c>
      <c r="E29" s="12">
        <v>4.8336639999999997</v>
      </c>
      <c r="F29" s="9">
        <v>7.7466809999999997</v>
      </c>
      <c r="G29" s="1">
        <f t="shared" si="2"/>
        <v>36.494359040213411</v>
      </c>
      <c r="H29" s="13" t="str">
        <f t="shared" si="3"/>
        <v>YES</v>
      </c>
      <c r="I29" s="74">
        <v>899.13012700000002</v>
      </c>
      <c r="J29" s="220"/>
      <c r="K29" s="221"/>
    </row>
    <row r="30" spans="1:11" ht="15">
      <c r="A30" s="166">
        <v>23</v>
      </c>
      <c r="B30" s="10">
        <v>1.1685490000000001</v>
      </c>
      <c r="C30" s="11">
        <v>297.24948900166868</v>
      </c>
      <c r="D30" s="1">
        <f t="shared" si="1"/>
        <v>347.35059312341093</v>
      </c>
      <c r="E30" s="12">
        <v>4.7726230000000003</v>
      </c>
      <c r="F30" s="9">
        <v>7.7285209999999998</v>
      </c>
      <c r="G30" s="1">
        <f t="shared" si="2"/>
        <v>36.230314815534989</v>
      </c>
      <c r="H30" s="13" t="str">
        <f t="shared" si="3"/>
        <v>YES</v>
      </c>
      <c r="I30" s="74">
        <v>888.14282200000002</v>
      </c>
      <c r="J30" s="220"/>
      <c r="K30" s="221"/>
    </row>
    <row r="31" spans="1:11" ht="15">
      <c r="A31" s="166">
        <v>24</v>
      </c>
      <c r="B31" s="10">
        <v>1.133832</v>
      </c>
      <c r="C31" s="11">
        <v>301.28740587852769</v>
      </c>
      <c r="D31" s="1">
        <f t="shared" si="1"/>
        <v>341.60930198206279</v>
      </c>
      <c r="E31" s="12">
        <v>4.8336639999999997</v>
      </c>
      <c r="F31" s="9">
        <v>7.6131539999999998</v>
      </c>
      <c r="G31" s="1">
        <f t="shared" si="2"/>
        <v>34.447715381930493</v>
      </c>
      <c r="H31" s="13" t="str">
        <f t="shared" si="3"/>
        <v>YES</v>
      </c>
      <c r="I31" s="74">
        <v>876.23974599999997</v>
      </c>
      <c r="J31" s="220"/>
      <c r="K31" s="221"/>
    </row>
    <row r="32" spans="1:11" ht="15">
      <c r="A32" s="166">
        <v>25</v>
      </c>
      <c r="B32" s="10">
        <v>1.133832</v>
      </c>
      <c r="C32" s="11">
        <v>295.42214019408732</v>
      </c>
      <c r="D32" s="1">
        <f t="shared" si="1"/>
        <v>334.95907606054237</v>
      </c>
      <c r="E32" s="12">
        <v>4.5627959999999996</v>
      </c>
      <c r="F32" s="9">
        <v>7.6099500000000004</v>
      </c>
      <c r="G32" s="1">
        <f t="shared" si="2"/>
        <v>35.052251487829032</v>
      </c>
      <c r="H32" s="13" t="str">
        <f t="shared" si="3"/>
        <v>YES</v>
      </c>
      <c r="I32" s="74">
        <v>893.63647500000002</v>
      </c>
      <c r="J32" s="220"/>
      <c r="K32" s="221"/>
    </row>
    <row r="33" spans="1:11" ht="15">
      <c r="A33" s="166">
        <v>26</v>
      </c>
      <c r="B33" s="10">
        <v>1.120098</v>
      </c>
      <c r="C33" s="11">
        <v>300.9728543941053</v>
      </c>
      <c r="D33" s="1">
        <f t="shared" si="1"/>
        <v>337.11909226112857</v>
      </c>
      <c r="E33" s="12">
        <v>4.307188</v>
      </c>
      <c r="F33" s="9">
        <v>7.6355870000000001</v>
      </c>
      <c r="G33" s="1">
        <f t="shared" si="2"/>
        <v>35.950699239902576</v>
      </c>
      <c r="H33" s="13" t="str">
        <f t="shared" si="3"/>
        <v>YES</v>
      </c>
      <c r="I33" s="74">
        <v>877.15551800000003</v>
      </c>
      <c r="J33" s="220"/>
      <c r="K33" s="221"/>
    </row>
    <row r="34" spans="1:11" ht="15">
      <c r="A34" s="166">
        <v>27</v>
      </c>
      <c r="B34" s="10">
        <v>1.120098</v>
      </c>
      <c r="C34" s="11">
        <v>306.73614855452894</v>
      </c>
      <c r="D34" s="1">
        <f t="shared" si="1"/>
        <v>343.57454652363077</v>
      </c>
      <c r="E34" s="12">
        <v>4.2156260000000003</v>
      </c>
      <c r="F34" s="9">
        <v>7.6067450000000001</v>
      </c>
      <c r="G34" s="1">
        <f t="shared" si="2"/>
        <v>35.797602877253489</v>
      </c>
      <c r="H34" s="13" t="str">
        <f t="shared" si="3"/>
        <v>YES</v>
      </c>
      <c r="I34" s="74">
        <v>860.67456100000004</v>
      </c>
      <c r="J34" s="220"/>
      <c r="K34" s="221"/>
    </row>
    <row r="35" spans="1:11" ht="15">
      <c r="A35" s="166">
        <v>28</v>
      </c>
      <c r="B35" s="10">
        <v>1.1132299999999999</v>
      </c>
      <c r="C35" s="11">
        <v>311.03778222596367</v>
      </c>
      <c r="D35" s="1">
        <f t="shared" si="1"/>
        <v>346.25659030740951</v>
      </c>
      <c r="E35" s="12">
        <v>4.1622159999999999</v>
      </c>
      <c r="F35" s="9">
        <v>7.623837</v>
      </c>
      <c r="G35" s="1">
        <f t="shared" si="2"/>
        <v>36.125507635817193</v>
      </c>
      <c r="H35" s="13" t="str">
        <f t="shared" si="3"/>
        <v>YES</v>
      </c>
      <c r="I35" s="74">
        <v>848.77148399999999</v>
      </c>
      <c r="J35" s="220"/>
      <c r="K35" s="221"/>
    </row>
    <row r="36" spans="1:11" ht="15">
      <c r="A36" s="166">
        <v>29</v>
      </c>
      <c r="B36" s="10">
        <v>1.133832</v>
      </c>
      <c r="C36" s="11">
        <v>311.37364527592746</v>
      </c>
      <c r="D36" s="1">
        <f t="shared" si="1"/>
        <v>353.04540297049539</v>
      </c>
      <c r="E36" s="12">
        <v>4.2575909999999997</v>
      </c>
      <c r="F36" s="9">
        <v>7.6708369999999997</v>
      </c>
      <c r="G36" s="1">
        <f t="shared" si="2"/>
        <v>36.601355499494922</v>
      </c>
      <c r="H36" s="13" t="str">
        <f t="shared" si="3"/>
        <v>YES</v>
      </c>
      <c r="I36" s="74">
        <v>847.85595699999999</v>
      </c>
      <c r="J36" s="220"/>
      <c r="K36" s="221"/>
    </row>
    <row r="37" spans="1:11" ht="15">
      <c r="A37" s="166">
        <v>30</v>
      </c>
      <c r="B37" s="10">
        <v>1.1132299999999999</v>
      </c>
      <c r="C37" s="11">
        <v>315.11695529987207</v>
      </c>
      <c r="D37" s="1">
        <f t="shared" si="1"/>
        <v>350.79764814847658</v>
      </c>
      <c r="E37" s="12">
        <v>4.9862650000000004</v>
      </c>
      <c r="F37" s="9">
        <v>7.4091250000000004</v>
      </c>
      <c r="G37" s="1">
        <f t="shared" si="2"/>
        <v>31.57429323939072</v>
      </c>
      <c r="H37" s="13" t="str">
        <f t="shared" si="3"/>
        <v>YES</v>
      </c>
      <c r="I37" s="74">
        <v>837.78417999999999</v>
      </c>
      <c r="J37" s="220"/>
      <c r="K37" s="221"/>
    </row>
    <row r="38" spans="1:11" ht="15">
      <c r="A38" s="166">
        <v>31</v>
      </c>
      <c r="B38" s="10">
        <v>1.168167</v>
      </c>
      <c r="C38" s="11">
        <v>314.77297272979735</v>
      </c>
      <c r="D38" s="1">
        <f t="shared" si="1"/>
        <v>367.70739923484916</v>
      </c>
      <c r="E38" s="12">
        <v>7.7674349999999999</v>
      </c>
      <c r="F38" s="9">
        <v>7.2232560000000001</v>
      </c>
      <c r="G38" s="1">
        <f t="shared" si="2"/>
        <v>24.639205338131667</v>
      </c>
      <c r="H38" s="13" t="str">
        <f t="shared" si="3"/>
        <v>YES</v>
      </c>
      <c r="I38" s="74">
        <v>838.69970699999999</v>
      </c>
      <c r="J38" s="220"/>
      <c r="K38" s="221"/>
    </row>
    <row r="39" spans="1:11" ht="15">
      <c r="A39" s="32"/>
      <c r="B39" s="101"/>
      <c r="C39" s="102"/>
      <c r="D39" s="6"/>
      <c r="E39" s="103"/>
      <c r="F39" s="104"/>
      <c r="G39" s="6"/>
      <c r="H39" s="4"/>
      <c r="I39" s="105"/>
      <c r="J39" s="106"/>
      <c r="K39" s="107"/>
    </row>
    <row r="40" spans="1:11" ht="20.25">
      <c r="A40" s="29" t="s">
        <v>100</v>
      </c>
      <c r="B40" s="4"/>
      <c r="C40" s="4"/>
      <c r="D40" s="5"/>
      <c r="E40" s="6"/>
      <c r="F40" s="7"/>
      <c r="G40" s="6"/>
      <c r="H40" s="70"/>
    </row>
    <row r="41" spans="1:11" ht="15">
      <c r="A41" s="29"/>
      <c r="B41" s="4"/>
      <c r="C41" s="4"/>
      <c r="D41" s="5"/>
      <c r="E41" s="6"/>
      <c r="F41" s="7"/>
      <c r="G41" s="6"/>
      <c r="H41" s="70"/>
      <c r="K41" s="59"/>
    </row>
    <row r="42" spans="1:11" ht="18.75">
      <c r="A42" s="115" t="s">
        <v>80</v>
      </c>
      <c r="B42" s="4"/>
      <c r="C42" s="4"/>
      <c r="D42" s="5"/>
      <c r="E42" s="6"/>
      <c r="F42" s="7"/>
      <c r="G42" s="6"/>
      <c r="H42" s="70"/>
      <c r="K42" s="59"/>
    </row>
    <row r="43" spans="1:11" ht="15">
      <c r="B43" s="3" t="s">
        <v>79</v>
      </c>
      <c r="C43" s="116" t="s">
        <v>58</v>
      </c>
      <c r="D43" s="5"/>
      <c r="E43" s="6"/>
      <c r="F43" s="7"/>
      <c r="G43" s="6"/>
      <c r="H43" s="70"/>
      <c r="K43" s="59"/>
    </row>
    <row r="44" spans="1:11" ht="15.75" customHeight="1">
      <c r="B44" s="3"/>
      <c r="C44" s="117" t="s">
        <v>59</v>
      </c>
      <c r="H44" s="73"/>
      <c r="I44" s="73"/>
    </row>
    <row r="45" spans="1:11" ht="12.75" customHeight="1">
      <c r="B45" s="3"/>
      <c r="C45" s="117" t="s">
        <v>60</v>
      </c>
      <c r="K45" s="59"/>
    </row>
    <row r="46" spans="1:11" ht="12.75" customHeight="1">
      <c r="B46" s="3" t="s">
        <v>78</v>
      </c>
      <c r="C46" s="118" t="s">
        <v>61</v>
      </c>
      <c r="K46" s="30"/>
    </row>
    <row r="47" spans="1:11">
      <c r="B47" s="3" t="s">
        <v>77</v>
      </c>
      <c r="C47" s="15" t="s">
        <v>62</v>
      </c>
      <c r="K47" s="114" t="s">
        <v>56</v>
      </c>
    </row>
  </sheetData>
  <sheetProtection sheet="1" objects="1" scenarios="1"/>
  <mergeCells count="37">
    <mergeCell ref="J34:K34"/>
    <mergeCell ref="J35:K35"/>
    <mergeCell ref="J36:K36"/>
    <mergeCell ref="J37:K37"/>
    <mergeCell ref="J38:K38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C3:G3"/>
    <mergeCell ref="C5:D5"/>
    <mergeCell ref="C4:D4"/>
    <mergeCell ref="J7:K7"/>
    <mergeCell ref="J8:K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89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>
      <selection activeCell="K23" sqref="K23"/>
    </sheetView>
  </sheetViews>
  <sheetFormatPr defaultRowHeight="12.75"/>
  <cols>
    <col min="10" max="10" width="10" customWidth="1"/>
  </cols>
  <sheetData>
    <row r="1" spans="1:22" ht="18">
      <c r="C1" s="111" t="s">
        <v>54</v>
      </c>
      <c r="H1" s="110"/>
      <c r="K1" s="126"/>
    </row>
    <row r="2" spans="1:22">
      <c r="H2" s="110"/>
    </row>
    <row r="3" spans="1:22" ht="15">
      <c r="A3" s="99" t="s">
        <v>52</v>
      </c>
    </row>
    <row r="4" spans="1:22" ht="14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.75" customHeight="1">
      <c r="A5" s="225" t="s">
        <v>72</v>
      </c>
      <c r="B5" s="225"/>
      <c r="C5" s="225"/>
      <c r="D5" s="225"/>
      <c r="E5" s="225"/>
      <c r="F5" s="225"/>
      <c r="G5" s="225"/>
      <c r="H5" s="225"/>
      <c r="I5" s="225"/>
      <c r="J5" s="225"/>
    </row>
    <row r="6" spans="1:22" ht="15" customHeight="1">
      <c r="A6" s="225" t="s">
        <v>73</v>
      </c>
      <c r="B6" s="225"/>
      <c r="C6" s="225"/>
      <c r="D6" s="225"/>
      <c r="E6" s="225"/>
      <c r="F6" s="225"/>
      <c r="G6" s="225"/>
      <c r="H6" s="225"/>
      <c r="I6" s="225"/>
      <c r="J6" s="225"/>
    </row>
    <row r="7" spans="1:22" ht="15" customHeight="1">
      <c r="A7" s="225" t="s">
        <v>57</v>
      </c>
      <c r="B7" s="225"/>
      <c r="C7" s="225"/>
      <c r="D7" s="225"/>
      <c r="E7" s="225"/>
      <c r="F7" s="225"/>
      <c r="G7" s="225"/>
      <c r="H7" s="225"/>
      <c r="I7" s="225"/>
      <c r="J7" s="225"/>
    </row>
    <row r="8" spans="1:22" ht="16.5">
      <c r="A8" s="113" t="s">
        <v>63</v>
      </c>
    </row>
    <row r="9" spans="1:22" ht="14.25">
      <c r="A9" s="96"/>
      <c r="K9" s="123"/>
    </row>
    <row r="10" spans="1:22" ht="3" customHeight="1">
      <c r="A10" s="71"/>
      <c r="B10" s="90"/>
      <c r="C10" s="90"/>
      <c r="D10" s="90"/>
      <c r="E10" s="90"/>
      <c r="F10" s="90"/>
      <c r="G10" s="90"/>
      <c r="H10" s="90"/>
      <c r="I10" s="90"/>
      <c r="J10" s="72"/>
      <c r="K10" s="123"/>
    </row>
    <row r="11" spans="1:22">
      <c r="K11" s="123"/>
    </row>
    <row r="12" spans="1:22" ht="16.5">
      <c r="A12" s="129" t="s">
        <v>69</v>
      </c>
      <c r="B12" s="83"/>
      <c r="C12" s="130"/>
      <c r="D12" s="130"/>
      <c r="E12" s="83"/>
      <c r="F12" s="83"/>
      <c r="G12" s="83"/>
      <c r="H12" s="83"/>
      <c r="I12" s="83"/>
      <c r="J12" s="83"/>
      <c r="K12" s="123"/>
    </row>
    <row r="13" spans="1:22" ht="18.75">
      <c r="A13" s="131" t="s">
        <v>106</v>
      </c>
      <c r="B13" s="83"/>
      <c r="C13" s="130"/>
      <c r="D13" s="130"/>
      <c r="E13" s="83"/>
      <c r="F13" s="83"/>
      <c r="G13" s="83"/>
      <c r="H13" s="83"/>
      <c r="I13" s="83"/>
      <c r="J13" s="83"/>
      <c r="K13" s="123"/>
    </row>
    <row r="14" spans="1:22" ht="18.75">
      <c r="A14" s="131" t="s">
        <v>107</v>
      </c>
      <c r="B14" s="83"/>
      <c r="C14" s="130"/>
      <c r="D14" s="130"/>
      <c r="E14" s="83"/>
      <c r="F14" s="83"/>
      <c r="G14" s="83"/>
      <c r="H14" s="83"/>
      <c r="I14" s="83"/>
      <c r="J14" s="83"/>
      <c r="K14" s="124"/>
    </row>
    <row r="15" spans="1:22" ht="18.75">
      <c r="A15" s="131" t="s">
        <v>119</v>
      </c>
      <c r="B15" s="83"/>
      <c r="C15" s="130"/>
      <c r="D15" s="130"/>
      <c r="E15" s="83"/>
      <c r="F15" s="83"/>
      <c r="G15" s="83"/>
      <c r="H15" s="83"/>
      <c r="I15" s="83"/>
      <c r="J15" s="83"/>
      <c r="K15" s="124"/>
    </row>
    <row r="16" spans="1:22" ht="18.75">
      <c r="A16" s="131" t="s">
        <v>74</v>
      </c>
      <c r="B16" s="83"/>
      <c r="C16" s="130"/>
      <c r="D16" s="130"/>
      <c r="E16" s="83"/>
      <c r="F16" s="83"/>
      <c r="G16" s="83"/>
      <c r="H16" s="83"/>
      <c r="I16" s="83"/>
      <c r="J16" s="83"/>
      <c r="K16" s="124"/>
    </row>
    <row r="17" spans="1:11" ht="14.25">
      <c r="A17" s="164" t="s">
        <v>108</v>
      </c>
      <c r="B17" s="83"/>
      <c r="C17" s="130"/>
      <c r="D17" s="130"/>
      <c r="E17" s="83"/>
      <c r="F17" s="83"/>
      <c r="G17" s="83"/>
      <c r="H17" s="83"/>
      <c r="I17" s="83"/>
      <c r="J17" s="83"/>
      <c r="K17" s="124"/>
    </row>
    <row r="18" spans="1:11" ht="18.75">
      <c r="A18" s="131" t="s">
        <v>53</v>
      </c>
      <c r="B18" s="83"/>
      <c r="C18" s="130"/>
      <c r="D18" s="130"/>
      <c r="E18" s="83"/>
      <c r="F18" s="83"/>
      <c r="G18" s="83"/>
      <c r="H18" s="83"/>
      <c r="I18" s="83"/>
      <c r="J18" s="83"/>
      <c r="K18" s="124"/>
    </row>
    <row r="19" spans="1:11" ht="14.25">
      <c r="A19" s="131" t="s">
        <v>70</v>
      </c>
      <c r="B19" s="83"/>
      <c r="C19" s="130"/>
      <c r="D19" s="130"/>
      <c r="E19" s="83"/>
      <c r="F19" s="83"/>
      <c r="G19" s="83"/>
      <c r="H19" s="83"/>
      <c r="I19" s="83"/>
      <c r="J19" s="83"/>
      <c r="K19" s="124"/>
    </row>
    <row r="20" spans="1:11" ht="14.25">
      <c r="A20" s="164" t="s">
        <v>122</v>
      </c>
      <c r="B20" s="83"/>
      <c r="C20" s="130"/>
      <c r="D20" s="130"/>
      <c r="E20" s="83"/>
      <c r="F20" s="83"/>
      <c r="G20" s="83"/>
      <c r="H20" s="83"/>
      <c r="I20" s="83"/>
      <c r="J20" s="83"/>
      <c r="K20" s="124"/>
    </row>
    <row r="21" spans="1:11" ht="14.25">
      <c r="C21" s="94"/>
      <c r="D21" s="94"/>
      <c r="K21" s="123"/>
    </row>
    <row r="22" spans="1:11" ht="15">
      <c r="A22" s="133" t="s">
        <v>123</v>
      </c>
      <c r="B22" s="108"/>
      <c r="C22" s="108"/>
      <c r="D22" s="108"/>
      <c r="E22" s="82"/>
      <c r="F22" s="82"/>
      <c r="G22" s="82"/>
      <c r="H22" s="82"/>
      <c r="I22" s="82"/>
      <c r="J22" s="82"/>
      <c r="K22" s="124"/>
    </row>
    <row r="23" spans="1:11" ht="18.75">
      <c r="A23" s="109" t="s">
        <v>109</v>
      </c>
      <c r="B23" s="82"/>
      <c r="C23" s="108"/>
      <c r="D23" s="108"/>
      <c r="E23" s="82"/>
      <c r="F23" s="82"/>
      <c r="G23" s="82"/>
      <c r="H23" s="82"/>
      <c r="I23" s="82"/>
      <c r="J23" s="82"/>
      <c r="K23" s="123"/>
    </row>
    <row r="24" spans="1:11" ht="18.75">
      <c r="A24" s="109" t="s">
        <v>110</v>
      </c>
      <c r="B24" s="82"/>
      <c r="C24" s="108"/>
      <c r="D24" s="108"/>
      <c r="E24" s="82"/>
      <c r="F24" s="82"/>
      <c r="G24" s="82"/>
      <c r="H24" s="82"/>
      <c r="I24" s="82"/>
      <c r="J24" s="82"/>
      <c r="K24" s="123"/>
    </row>
    <row r="25" spans="1:11" ht="18.75">
      <c r="A25" s="109" t="s">
        <v>124</v>
      </c>
      <c r="B25" s="82"/>
      <c r="C25" s="108"/>
      <c r="D25" s="108"/>
      <c r="E25" s="82"/>
      <c r="F25" s="82"/>
      <c r="G25" s="82"/>
      <c r="H25" s="82"/>
      <c r="I25" s="82"/>
      <c r="J25" s="82"/>
      <c r="K25" s="123"/>
    </row>
    <row r="26" spans="1:11" ht="14.25">
      <c r="C26" s="94"/>
      <c r="D26" s="94"/>
    </row>
    <row r="27" spans="1:11" ht="15">
      <c r="A27" s="132" t="s">
        <v>51</v>
      </c>
      <c r="B27" s="83"/>
      <c r="C27" s="130"/>
      <c r="D27" s="130"/>
      <c r="E27" s="83"/>
      <c r="F27" s="83"/>
      <c r="G27" s="83"/>
      <c r="H27" s="83"/>
      <c r="I27" s="83"/>
      <c r="J27" s="83"/>
    </row>
    <row r="28" spans="1:11" ht="14.25">
      <c r="A28" s="131" t="s">
        <v>111</v>
      </c>
      <c r="B28" s="83"/>
      <c r="C28" s="130"/>
      <c r="D28" s="130"/>
      <c r="E28" s="83"/>
      <c r="F28" s="83"/>
      <c r="G28" s="83"/>
      <c r="H28" s="83"/>
      <c r="I28" s="83"/>
      <c r="J28" s="83"/>
    </row>
    <row r="29" spans="1:11" ht="14.25">
      <c r="A29" s="131" t="s">
        <v>112</v>
      </c>
      <c r="B29" s="83"/>
      <c r="C29" s="130"/>
      <c r="D29" s="130"/>
      <c r="E29" s="83"/>
      <c r="F29" s="83"/>
      <c r="G29" s="83"/>
      <c r="H29" s="83"/>
      <c r="I29" s="83"/>
      <c r="J29" s="83"/>
    </row>
    <row r="30" spans="1:11" ht="14.25">
      <c r="A30" s="131" t="s">
        <v>113</v>
      </c>
      <c r="B30" s="83"/>
      <c r="C30" s="130"/>
      <c r="D30" s="130"/>
      <c r="E30" s="83"/>
      <c r="F30" s="83"/>
      <c r="G30" s="83"/>
      <c r="H30" s="83"/>
      <c r="I30" s="83"/>
      <c r="J30" s="83"/>
      <c r="K30" s="123"/>
    </row>
    <row r="31" spans="1:11" ht="14.25">
      <c r="A31" s="131" t="s">
        <v>98</v>
      </c>
      <c r="B31" s="83"/>
      <c r="C31" s="83"/>
      <c r="D31" s="83"/>
      <c r="E31" s="83"/>
      <c r="F31" s="83"/>
      <c r="G31" s="83"/>
      <c r="H31" s="83"/>
      <c r="I31" s="83"/>
      <c r="J31" s="83"/>
      <c r="K31" s="123"/>
    </row>
    <row r="32" spans="1:11">
      <c r="K32" s="124"/>
    </row>
    <row r="33" spans="1:11" ht="15">
      <c r="A33" s="133" t="s">
        <v>117</v>
      </c>
      <c r="B33" s="82"/>
      <c r="C33" s="82"/>
      <c r="D33" s="82"/>
      <c r="E33" s="82"/>
      <c r="F33" s="82"/>
      <c r="G33" s="82"/>
      <c r="H33" s="82"/>
      <c r="I33" s="82"/>
      <c r="J33" s="82"/>
      <c r="K33" s="123"/>
    </row>
    <row r="34" spans="1:11" ht="14.25">
      <c r="A34" s="109" t="s">
        <v>71</v>
      </c>
      <c r="B34" s="82"/>
      <c r="C34" s="82"/>
      <c r="D34" s="82"/>
      <c r="E34" s="82"/>
      <c r="F34" s="82"/>
      <c r="G34" s="82"/>
      <c r="H34" s="82"/>
      <c r="I34" s="82"/>
      <c r="J34" s="82"/>
      <c r="K34" s="123"/>
    </row>
    <row r="35" spans="1:11" ht="14.25">
      <c r="A35" s="95"/>
      <c r="K35" s="123"/>
    </row>
    <row r="36" spans="1:11" ht="15">
      <c r="A36" s="132" t="s">
        <v>118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1" ht="14.25">
      <c r="A37" s="131" t="s">
        <v>121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1" ht="14.25">
      <c r="A38" s="94" t="s">
        <v>126</v>
      </c>
    </row>
    <row r="39" spans="1:11" ht="5.25" customHeight="1">
      <c r="A39" s="134"/>
      <c r="B39" s="90"/>
      <c r="C39" s="90"/>
      <c r="D39" s="90"/>
      <c r="E39" s="90"/>
      <c r="F39" s="90"/>
      <c r="G39" s="90"/>
      <c r="H39" s="90"/>
      <c r="I39" s="135"/>
      <c r="J39" s="72"/>
    </row>
    <row r="40" spans="1:11" ht="5.25" customHeight="1">
      <c r="A40" s="75"/>
      <c r="I40" s="125"/>
    </row>
    <row r="41" spans="1:11">
      <c r="A41" s="15"/>
      <c r="B41" s="15"/>
      <c r="C41" s="15"/>
      <c r="D41" s="15"/>
      <c r="E41" s="15"/>
      <c r="F41" s="15"/>
      <c r="G41" s="100"/>
      <c r="H41" s="15"/>
      <c r="J41" s="146" t="s">
        <v>116</v>
      </c>
    </row>
    <row r="42" spans="1:11">
      <c r="G42" s="100"/>
    </row>
    <row r="43" spans="1:11">
      <c r="G43" s="100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1" t="s">
        <v>18</v>
      </c>
    </row>
    <row r="2" spans="1:7" ht="19.5" customHeight="1">
      <c r="A2" s="36" t="s">
        <v>96</v>
      </c>
    </row>
    <row r="3" spans="1:7" ht="24.6" customHeight="1">
      <c r="A3" s="162" t="s">
        <v>7</v>
      </c>
      <c r="B3" s="229" t="str">
        <f>IF('pg 1'!C2="","",'pg 1'!C2)</f>
        <v>City of Warrenton</v>
      </c>
      <c r="C3" s="229"/>
      <c r="D3" s="152"/>
      <c r="E3" s="140" t="str">
        <f>IF(B23="","",B23)</f>
        <v/>
      </c>
      <c r="F3" s="153" t="str">
        <f>IF(B25="","",(B25))</f>
        <v/>
      </c>
    </row>
    <row r="4" spans="1:7" ht="24.6" customHeight="1">
      <c r="A4" s="162" t="s">
        <v>9</v>
      </c>
      <c r="B4" s="167" t="str">
        <f>IF('pg 1'!C3="","",'pg 1'!C3)</f>
        <v>00932</v>
      </c>
      <c r="C4" s="163" t="str">
        <f>IF(B4="","",(HYPERLINK("https://yourwater.oregon.gov/inventory.php?pwsno="&amp;B4,B4&amp;" Water System Profile on DataOnline")))</f>
        <v>00932 Water System Profile on DataOnline</v>
      </c>
      <c r="D4" s="151"/>
      <c r="E4" s="145"/>
      <c r="F4" s="140"/>
    </row>
    <row r="5" spans="1:7" ht="24.6" customHeight="1">
      <c r="A5" s="162" t="s">
        <v>10</v>
      </c>
      <c r="B5" s="167" t="str">
        <f>IF('pg 1'!C4="","",'pg 1'!C4)</f>
        <v/>
      </c>
      <c r="C5" s="31" t="s">
        <v>94</v>
      </c>
      <c r="D5" s="54" t="s">
        <v>93</v>
      </c>
      <c r="E5" s="140"/>
      <c r="F5" s="140"/>
    </row>
    <row r="6" spans="1:7" ht="24.6" customHeight="1">
      <c r="A6" s="162" t="s">
        <v>1</v>
      </c>
      <c r="B6" s="167" t="str">
        <f>IF('pg 1'!G1="","",'pg 1'!G1)</f>
        <v>Clatsop</v>
      </c>
      <c r="C6" s="31" t="s">
        <v>91</v>
      </c>
      <c r="D6" s="54" t="s">
        <v>92</v>
      </c>
      <c r="E6" s="140"/>
      <c r="F6" s="140"/>
    </row>
    <row r="7" spans="1:7" ht="24.6" customHeight="1">
      <c r="A7" s="162" t="s">
        <v>11</v>
      </c>
      <c r="B7" s="168" t="str">
        <f>IF('pg 1'!G2="","",'pg 1'!G2)</f>
        <v>Jan. 2025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7" t="s">
        <v>23</v>
      </c>
      <c r="B9" s="228"/>
      <c r="C9" s="27"/>
      <c r="D9" s="142" t="s">
        <v>97</v>
      </c>
      <c r="E9" s="28">
        <f>'pg 1'!E8</f>
        <v>0.5</v>
      </c>
      <c r="F9" s="143" t="s">
        <v>19</v>
      </c>
      <c r="G9" s="28">
        <f>'pg 1'!F8</f>
        <v>4</v>
      </c>
    </row>
    <row r="10" spans="1:7" ht="93" customHeight="1">
      <c r="A10" s="141" t="s">
        <v>12</v>
      </c>
      <c r="B10" s="141" t="s">
        <v>90</v>
      </c>
      <c r="C10" s="18" t="s">
        <v>37</v>
      </c>
      <c r="D10" s="141" t="s">
        <v>13</v>
      </c>
      <c r="E10" s="141" t="s">
        <v>89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58"/>
      <c r="B17" s="159"/>
      <c r="C17" s="160"/>
      <c r="D17" s="159"/>
      <c r="E17" s="160"/>
      <c r="F17" s="160"/>
      <c r="G17" s="160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4" t="s">
        <v>87</v>
      </c>
      <c r="F19" s="41"/>
    </row>
    <row r="20" spans="1:7" ht="31.5" customHeight="1">
      <c r="A20" s="32"/>
      <c r="B20" s="32"/>
      <c r="C20" s="33"/>
      <c r="E20" s="144" t="s">
        <v>88</v>
      </c>
      <c r="F20" s="41"/>
    </row>
    <row r="21" spans="1:7" ht="31.5" customHeight="1">
      <c r="A21" s="32"/>
      <c r="B21" s="32"/>
      <c r="C21" s="33"/>
      <c r="E21" s="144" t="s">
        <v>95</v>
      </c>
      <c r="F21" s="41"/>
    </row>
    <row r="22" spans="1:7" ht="31.5" customHeight="1">
      <c r="A22" s="32"/>
      <c r="B22" s="32"/>
      <c r="C22" s="33"/>
      <c r="E22" s="144"/>
      <c r="F22" s="150"/>
    </row>
    <row r="23" spans="1:7" ht="31.5" customHeight="1">
      <c r="A23" s="46" t="s">
        <v>15</v>
      </c>
      <c r="B23" s="44"/>
      <c r="C23" s="47" t="s">
        <v>8</v>
      </c>
      <c r="D23" s="48"/>
      <c r="E23" s="48"/>
      <c r="F23" s="48"/>
      <c r="G23" s="48"/>
    </row>
    <row r="24" spans="1:7" ht="31.5" customHeight="1">
      <c r="A24" s="46" t="s">
        <v>16</v>
      </c>
      <c r="B24" s="44"/>
      <c r="C24" s="49"/>
      <c r="D24" s="50" t="s">
        <v>6</v>
      </c>
      <c r="E24" s="51"/>
      <c r="F24" s="48"/>
      <c r="G24" s="48"/>
    </row>
    <row r="25" spans="1:7" ht="31.5" customHeight="1">
      <c r="A25" s="46" t="s">
        <v>17</v>
      </c>
      <c r="B25" s="45"/>
      <c r="C25" s="52"/>
      <c r="D25" s="50" t="s">
        <v>20</v>
      </c>
      <c r="E25" s="53"/>
      <c r="F25" s="48"/>
      <c r="G25" s="48"/>
    </row>
    <row r="26" spans="1:7" ht="31.5" customHeight="1">
      <c r="A26" s="46"/>
      <c r="B26" s="147"/>
      <c r="C26" s="48"/>
      <c r="D26" s="50"/>
      <c r="E26" s="148"/>
      <c r="F26" s="48"/>
      <c r="G26" s="48"/>
    </row>
    <row r="27" spans="1:7" ht="31.5" customHeight="1">
      <c r="A27" s="46"/>
      <c r="B27" s="147"/>
      <c r="C27" s="48"/>
      <c r="D27" s="50"/>
      <c r="E27" s="148"/>
      <c r="F27" s="48"/>
      <c r="G27" s="48"/>
    </row>
    <row r="28" spans="1:7" ht="92.25" customHeight="1">
      <c r="A28" s="226" t="s">
        <v>104</v>
      </c>
      <c r="B28" s="226"/>
      <c r="C28" s="226"/>
      <c r="D28" s="226"/>
      <c r="E28" s="226"/>
      <c r="F28" s="226"/>
      <c r="G28" s="226"/>
    </row>
    <row r="29" spans="1:7" ht="50.25" customHeight="1">
      <c r="A29" s="149"/>
      <c r="B29" s="149"/>
      <c r="C29" s="149"/>
      <c r="D29" s="149"/>
      <c r="E29" s="149"/>
      <c r="F29" s="149"/>
      <c r="G29" s="149"/>
    </row>
    <row r="30" spans="1:7" ht="15.75">
      <c r="A30" s="55" t="s">
        <v>40</v>
      </c>
    </row>
    <row r="31" spans="1:7" ht="15">
      <c r="A31" s="54" t="s">
        <v>41</v>
      </c>
      <c r="G31" s="59" t="s">
        <v>99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  <IACategory xmlns="59da1016-2a1b-4f8a-9768-d7a4932f6f16">Public Health</IACategory>
    <IASubtopic xmlns="59da1016-2a1b-4f8a-9768-d7a4932f6f16">Clean Water</IASubtopic>
    <DocumentExpirationDate xmlns="59da1016-2a1b-4f8a-9768-d7a4932f6f16">2018-10-31T07:00:00+00:00</DocumentExpirationDate>
    <Meta_x0020_Description xmlns="d2e0bc49-2a0d-4436-9478-07eea2b62d99" xsi:nil="true"/>
    <Meta_x0020_Keywords xmlns="d2e0bc49-2a0d-4436-9478-07eea2b62d99" xsi:nil="true"/>
    <IATopic xmlns="59da1016-2a1b-4f8a-9768-d7a4932f6f16">Public Health - Environment</IATopi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8579364-EC22-4D4A-A68A-40F6C32AE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  <ds:schemaRef ds:uri="59da1016-2a1b-4f8a-9768-d7a4932f6f16"/>
    <ds:schemaRef ds:uri="d2e0bc49-2a0d-4436-9478-07eea2b62d99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2025-02-10T19:37:29Z</cp:lastPrinted>
  <dcterms:created xsi:type="dcterms:W3CDTF">2008-11-12T20:47:25Z</dcterms:created>
  <dcterms:modified xsi:type="dcterms:W3CDTF">2025-02-10T19:38:32Z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2023-10-19T21:59:57Z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f5b1ff21-7090-4233-82a8-e9447e2085ad</vt:lpwstr>
  </property>
  <property fmtid="{D5CDD505-2E9C-101B-9397-08002B2CF9AE}" pid="21" name="MSIP_Label_ebdd6eeb-0dd0-4927-947e-a759f08fcf55_ContentBits">
    <vt:lpwstr>0</vt:lpwstr>
  </property>
  <property fmtid="{D5CDD505-2E9C-101B-9397-08002B2CF9AE}" pid="22" name="ContentTypeId">
    <vt:lpwstr>0x0101005CFE4D76D1593E4FBA42D8CB642DF296</vt:lpwstr>
  </property>
</Properties>
</file>